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LV\Netznutzung\GAS\SLP\"/>
    </mc:Choice>
  </mc:AlternateContent>
  <bookViews>
    <workbookView xWindow="0" yWindow="0" windowWidth="28800" windowHeight="14100" tabRatio="789" firstSheet="1" activeTab="2"/>
  </bookViews>
  <sheets>
    <sheet name="Info" sheetId="14" r:id="rId1"/>
    <sheet name="Netzbetreiber" sheetId="5" r:id="rId2"/>
    <sheet name="SLP-Verfahren" sheetId="15" r:id="rId3"/>
    <sheet name="SLP-Temp-Gebiet Bad Nauheim" sheetId="17" r:id="rId4"/>
    <sheet name="SLP-Temp-Gebiet #02" sheetId="18" state="hidden" r:id="rId5"/>
    <sheet name="SLP-Temp-Gebiet Gießen" sheetId="19" r:id="rId6"/>
    <sheet name="SLP-Temp-Gebiet Neu-Ulrichstein" sheetId="20" r:id="rId7"/>
    <sheet name="SLP-Profile" sheetId="7" r:id="rId8"/>
    <sheet name="BDEW-Standard" sheetId="8" state="hidden" r:id="rId9"/>
    <sheet name="SLP-Feiertage" sheetId="1" r:id="rId10"/>
    <sheet name="Wochentag F(WT)" sheetId="4" state="hidden" r:id="rId11"/>
  </sheets>
  <definedNames>
    <definedName name="_Fill" localSheetId="4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2" hidden="1">#REF!</definedName>
    <definedName name="_Fill" hidden="1">#REF!</definedName>
    <definedName name="_xlnm._FilterDatabase" localSheetId="8" hidden="1">'BDEW-Standard'!$A$2:$M$158</definedName>
    <definedName name="_xlnm.Print_Area" localSheetId="10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20" l="1"/>
  <c r="E4" i="20" l="1"/>
  <c r="E4" i="19"/>
  <c r="E4" i="17"/>
  <c r="F14" i="7" l="1"/>
  <c r="J8" i="7"/>
  <c r="N71" i="20"/>
  <c r="M71" i="20"/>
  <c r="L71" i="20"/>
  <c r="K71" i="20"/>
  <c r="J71" i="20"/>
  <c r="I71" i="20"/>
  <c r="H71" i="20"/>
  <c r="G71" i="20"/>
  <c r="N70" i="20"/>
  <c r="M70" i="20"/>
  <c r="L70" i="20"/>
  <c r="K70" i="20"/>
  <c r="J70" i="20"/>
  <c r="I70" i="20"/>
  <c r="H70" i="20"/>
  <c r="G70" i="20"/>
  <c r="F70" i="20"/>
  <c r="E70" i="20"/>
  <c r="N69" i="20"/>
  <c r="M69" i="20"/>
  <c r="L69" i="20"/>
  <c r="K69" i="20"/>
  <c r="J69" i="20"/>
  <c r="I69" i="20"/>
  <c r="H69" i="20"/>
  <c r="G69" i="20"/>
  <c r="F69" i="20"/>
  <c r="E69" i="20"/>
  <c r="N68" i="20"/>
  <c r="M68" i="20"/>
  <c r="L68" i="20"/>
  <c r="K68" i="20"/>
  <c r="J68" i="20"/>
  <c r="I68" i="20"/>
  <c r="H68" i="20"/>
  <c r="G68" i="20"/>
  <c r="F68" i="20"/>
  <c r="E68" i="20"/>
  <c r="N67" i="20"/>
  <c r="M67" i="20"/>
  <c r="L67" i="20"/>
  <c r="K67" i="20"/>
  <c r="J67" i="20"/>
  <c r="I67" i="20"/>
  <c r="H67" i="20"/>
  <c r="G67" i="20"/>
  <c r="F67" i="20"/>
  <c r="E67" i="20"/>
  <c r="N64" i="20"/>
  <c r="K64" i="20"/>
  <c r="J64" i="20"/>
  <c r="G64" i="20"/>
  <c r="F64" i="20"/>
  <c r="F63" i="20"/>
  <c r="M64" i="20" s="1"/>
  <c r="N61" i="20"/>
  <c r="M61" i="20"/>
  <c r="L61" i="20"/>
  <c r="K61" i="20"/>
  <c r="J61" i="20"/>
  <c r="I61" i="20"/>
  <c r="H61" i="20"/>
  <c r="G61" i="20"/>
  <c r="F61" i="20"/>
  <c r="E61" i="20"/>
  <c r="N60" i="20"/>
  <c r="M60" i="20"/>
  <c r="L60" i="20"/>
  <c r="K60" i="20"/>
  <c r="J60" i="20"/>
  <c r="I60" i="20"/>
  <c r="H60" i="20"/>
  <c r="G60" i="20"/>
  <c r="F60" i="20"/>
  <c r="E60" i="20"/>
  <c r="N59" i="20"/>
  <c r="M59" i="20"/>
  <c r="L59" i="20"/>
  <c r="K59" i="20"/>
  <c r="J59" i="20"/>
  <c r="I59" i="20"/>
  <c r="H59" i="20"/>
  <c r="G59" i="20"/>
  <c r="F59" i="20"/>
  <c r="N58" i="20"/>
  <c r="M58" i="20"/>
  <c r="L58" i="20"/>
  <c r="K58" i="20"/>
  <c r="J58" i="20"/>
  <c r="I58" i="20"/>
  <c r="H58" i="20"/>
  <c r="G58" i="20"/>
  <c r="F58" i="20"/>
  <c r="E58" i="20"/>
  <c r="N57" i="20"/>
  <c r="M57" i="20"/>
  <c r="L57" i="20"/>
  <c r="K57" i="20"/>
  <c r="J57" i="20"/>
  <c r="I57" i="20"/>
  <c r="H57" i="20"/>
  <c r="G57" i="20"/>
  <c r="F57" i="20"/>
  <c r="E57" i="20"/>
  <c r="N54" i="20"/>
  <c r="K54" i="20"/>
  <c r="J54" i="20"/>
  <c r="G54" i="20"/>
  <c r="F54" i="20"/>
  <c r="F53" i="20"/>
  <c r="M54" i="20" s="1"/>
  <c r="N30" i="20"/>
  <c r="M30" i="20"/>
  <c r="L30" i="20"/>
  <c r="K30" i="20"/>
  <c r="J30" i="20"/>
  <c r="I30" i="20"/>
  <c r="H30" i="20"/>
  <c r="G30" i="20"/>
  <c r="F30" i="20"/>
  <c r="E30" i="20"/>
  <c r="D33" i="20" s="1"/>
  <c r="N27" i="20"/>
  <c r="M27" i="20"/>
  <c r="L27" i="20"/>
  <c r="K27" i="20"/>
  <c r="J27" i="20"/>
  <c r="I27" i="20"/>
  <c r="H27" i="20"/>
  <c r="G27" i="20"/>
  <c r="F27" i="20"/>
  <c r="E27" i="20"/>
  <c r="T23" i="20"/>
  <c r="N19" i="20"/>
  <c r="M19" i="20"/>
  <c r="L19" i="20"/>
  <c r="K19" i="20"/>
  <c r="J19" i="20"/>
  <c r="I19" i="20"/>
  <c r="H19" i="20"/>
  <c r="D22" i="20" s="1"/>
  <c r="G19" i="20"/>
  <c r="F19" i="20"/>
  <c r="E19" i="20"/>
  <c r="F11" i="20"/>
  <c r="F9" i="20"/>
  <c r="E5" i="20"/>
  <c r="N71" i="19"/>
  <c r="M71" i="19"/>
  <c r="L71" i="19"/>
  <c r="K71" i="19"/>
  <c r="J71" i="19"/>
  <c r="I71" i="19"/>
  <c r="H71" i="19"/>
  <c r="G71" i="19"/>
  <c r="N70" i="19"/>
  <c r="M70" i="19"/>
  <c r="L70" i="19"/>
  <c r="K70" i="19"/>
  <c r="J70" i="19"/>
  <c r="I70" i="19"/>
  <c r="H70" i="19"/>
  <c r="G70" i="19"/>
  <c r="F70" i="19"/>
  <c r="E70" i="19"/>
  <c r="N69" i="19"/>
  <c r="M69" i="19"/>
  <c r="L69" i="19"/>
  <c r="K69" i="19"/>
  <c r="J69" i="19"/>
  <c r="I69" i="19"/>
  <c r="H69" i="19"/>
  <c r="G69" i="19"/>
  <c r="F69" i="19"/>
  <c r="E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N64" i="19"/>
  <c r="M64" i="19"/>
  <c r="K64" i="19"/>
  <c r="J64" i="19"/>
  <c r="I64" i="19"/>
  <c r="G64" i="19"/>
  <c r="F64" i="19"/>
  <c r="E64" i="19"/>
  <c r="F63" i="19"/>
  <c r="L64" i="19" s="1"/>
  <c r="N61" i="19"/>
  <c r="M61" i="19"/>
  <c r="L61" i="19"/>
  <c r="K61" i="19"/>
  <c r="J61" i="19"/>
  <c r="I61" i="19"/>
  <c r="H61" i="19"/>
  <c r="G61" i="19"/>
  <c r="F61" i="19"/>
  <c r="E61" i="19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E58" i="19"/>
  <c r="N57" i="19"/>
  <c r="M57" i="19"/>
  <c r="L57" i="19"/>
  <c r="K57" i="19"/>
  <c r="J57" i="19"/>
  <c r="I57" i="19"/>
  <c r="H57" i="19"/>
  <c r="G57" i="19"/>
  <c r="F57" i="19"/>
  <c r="E57" i="19"/>
  <c r="N54" i="19"/>
  <c r="M54" i="19"/>
  <c r="K54" i="19"/>
  <c r="J54" i="19"/>
  <c r="I54" i="19"/>
  <c r="G54" i="19"/>
  <c r="F54" i="19"/>
  <c r="E54" i="19"/>
  <c r="F53" i="19"/>
  <c r="L54" i="19" s="1"/>
  <c r="N30" i="19"/>
  <c r="M30" i="19"/>
  <c r="L30" i="19"/>
  <c r="K30" i="19"/>
  <c r="J30" i="19"/>
  <c r="I30" i="19"/>
  <c r="H30" i="19"/>
  <c r="G30" i="19"/>
  <c r="F30" i="19"/>
  <c r="E30" i="19"/>
  <c r="D33" i="19" s="1"/>
  <c r="N27" i="19"/>
  <c r="M27" i="19"/>
  <c r="L27" i="19"/>
  <c r="K27" i="19"/>
  <c r="J27" i="19"/>
  <c r="I27" i="19"/>
  <c r="H27" i="19"/>
  <c r="G27" i="19"/>
  <c r="F27" i="19"/>
  <c r="E27" i="19"/>
  <c r="T23" i="19"/>
  <c r="N19" i="19"/>
  <c r="M19" i="19"/>
  <c r="L19" i="19"/>
  <c r="K19" i="19"/>
  <c r="J19" i="19"/>
  <c r="I19" i="19"/>
  <c r="H19" i="19"/>
  <c r="G19" i="19"/>
  <c r="D22" i="19" s="1"/>
  <c r="F19" i="19"/>
  <c r="E19" i="19"/>
  <c r="F11" i="19"/>
  <c r="F9" i="19"/>
  <c r="E5" i="19"/>
  <c r="M32" i="20" l="1"/>
  <c r="I32" i="20"/>
  <c r="L32" i="20"/>
  <c r="H32" i="20"/>
  <c r="J32" i="20"/>
  <c r="K32" i="20"/>
  <c r="G32" i="20"/>
  <c r="N32" i="20"/>
  <c r="F32" i="20"/>
  <c r="E32" i="20" s="1"/>
  <c r="M21" i="20"/>
  <c r="I21" i="20"/>
  <c r="K21" i="20"/>
  <c r="N21" i="20"/>
  <c r="J21" i="20"/>
  <c r="L21" i="20"/>
  <c r="H21" i="20"/>
  <c r="G21" i="20"/>
  <c r="F21" i="20"/>
  <c r="H54" i="20"/>
  <c r="L54" i="20"/>
  <c r="H64" i="20"/>
  <c r="L64" i="20"/>
  <c r="E54" i="20"/>
  <c r="D57" i="20" s="1"/>
  <c r="F56" i="20" s="1"/>
  <c r="I54" i="20"/>
  <c r="E64" i="20"/>
  <c r="I64" i="20"/>
  <c r="M32" i="19"/>
  <c r="I32" i="19"/>
  <c r="L32" i="19"/>
  <c r="H32" i="19"/>
  <c r="K32" i="19"/>
  <c r="G32" i="19"/>
  <c r="F32" i="19"/>
  <c r="N32" i="19"/>
  <c r="J32" i="19"/>
  <c r="D67" i="19"/>
  <c r="M21" i="19"/>
  <c r="I21" i="19"/>
  <c r="L21" i="19"/>
  <c r="H21" i="19"/>
  <c r="K21" i="19"/>
  <c r="G21" i="19"/>
  <c r="N21" i="19"/>
  <c r="J21" i="19"/>
  <c r="F21" i="19"/>
  <c r="E21" i="19" s="1"/>
  <c r="H54" i="19"/>
  <c r="D57" i="19" s="1"/>
  <c r="H64" i="19"/>
  <c r="D67" i="20" l="1"/>
  <c r="K56" i="20"/>
  <c r="G56" i="20"/>
  <c r="E56" i="20" s="1"/>
  <c r="H56" i="20"/>
  <c r="L56" i="20"/>
  <c r="I56" i="20"/>
  <c r="N56" i="20"/>
  <c r="J56" i="20"/>
  <c r="E21" i="20"/>
  <c r="M56" i="20"/>
  <c r="K56" i="19"/>
  <c r="G56" i="19"/>
  <c r="L56" i="19"/>
  <c r="H56" i="19"/>
  <c r="F56" i="19"/>
  <c r="J56" i="19"/>
  <c r="M56" i="19"/>
  <c r="N56" i="19"/>
  <c r="I56" i="19"/>
  <c r="K66" i="19"/>
  <c r="G66" i="19"/>
  <c r="L66" i="19"/>
  <c r="H66" i="19"/>
  <c r="N66" i="19"/>
  <c r="E32" i="19"/>
  <c r="F66" i="19"/>
  <c r="E66" i="19" s="1"/>
  <c r="M66" i="19"/>
  <c r="J66" i="19"/>
  <c r="I66" i="19"/>
  <c r="K66" i="20" l="1"/>
  <c r="G66" i="20"/>
  <c r="H66" i="20"/>
  <c r="L66" i="20"/>
  <c r="J66" i="20"/>
  <c r="M66" i="20"/>
  <c r="N66" i="20"/>
  <c r="I66" i="20"/>
  <c r="F66" i="20"/>
  <c r="E56" i="19"/>
  <c r="E66" i="20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24" i="7"/>
  <c r="F22" i="7"/>
  <c r="F20" i="7"/>
  <c r="F18" i="7"/>
  <c r="F16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20" i="7"/>
  <c r="C14" i="7"/>
  <c r="C12" i="7"/>
  <c r="C19" i="7"/>
  <c r="C16" i="7"/>
  <c r="C25" i="7"/>
  <c r="C15" i="7"/>
  <c r="C17" i="7"/>
  <c r="C22" i="7"/>
  <c r="C13" i="7"/>
  <c r="C23" i="7"/>
  <c r="C18" i="7"/>
  <c r="C21" i="7"/>
  <c r="C24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<sst xmlns="http://schemas.openxmlformats.org/spreadsheetml/2006/main" count="1852" uniqueCount="683">
  <si>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</si>
  <si>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</si>
  <si>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</si>
  <si>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</si>
  <si>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</si>
  <si>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</si>
  <si>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</si>
  <si>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</si>
  <si>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</si>
  <si>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</si>
  <si>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</si>
  <si>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</si>
  <si>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</si>
  <si>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</si>
  <si>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</si>
  <si>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</si>
  <si>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</si>
  <si>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</si>
  <si>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</si>
  <si>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</si>
  <si>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</si>
  <si>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</si>
  <si>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</si>
  <si>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</si>
  <si>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</si>
  <si>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</si>
  <si>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</si>
  <si>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</si>
  <si>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</si>
  <si>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</si>
  <si>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</si>
  <si>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</si>
  <si>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</si>
  <si>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</si>
  <si>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</si>
  <si>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</si>
  <si>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</si>
  <si>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</si>
  <si>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</si>
  <si>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</si>
  <si>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</si>
  <si>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</si>
  <si>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</si>
  <si>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</si>
  <si>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</si>
  <si>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</si>
  <si>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</si>
  <si>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</si>
  <si>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</si>
  <si>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</si>
  <si>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</si>
  <si>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</si>
  <si>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</si>
  <si>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</si>
  <si>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</si>
  <si>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</si>
  <si>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</si>
  <si>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</si>
  <si>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</si>
  <si>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</si>
  <si>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</si>
  <si>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</si>
  <si>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</si>
  <si>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</si>
  <si>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</si>
  <si>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</si>
  <si>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</si>
  <si>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</si>
  <si>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</si>
  <si>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</si>
  <si>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</si>
  <si>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</si>
  <si>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</si>
  <si>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</si>
  <si>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</si>
  <si>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</si>
  <si>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</si>
  <si>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</si>
  <si>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</si>
  <si>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</si>
  <si>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</si>
  <si>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</si>
  <si>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</si>
  <si>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</si>
  <si>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</si>
  <si>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</si>
  <si>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</si>
  <si>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</si>
  <si>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</si>
  <si>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</si>
  <si>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</si>
  <si>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</si>
  <si>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</si>
  <si>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</si>
  <si>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</si>
  <si>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</si>
  <si>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</si>
  <si>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</si>
  <si>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</si>
  <si>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</si>
  <si>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</si>
  <si>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</si>
  <si>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</si>
  <si>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</si>
  <si>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</si>
  <si>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</si>
  <si>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</si>
  <si>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</si>
  <si>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</si>
  <si>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</si>
  <si>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</si>
  <si>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</si>
  <si>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</si>
  <si>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</si>
  <si>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</si>
  <si>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</si>
  <si>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</si>
  <si>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</si>
  <si>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</si>
  <si>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</si>
  <si>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</si>
  <si>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</si>
  <si>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</si>
  <si>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</si>
  <si>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</si>
  <si>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</si>
  <si>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</si>
  <si>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</si>
  <si>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</si>
  <si>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</si>
  <si>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</si>
  <si>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</si>
  <si>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</si>
  <si>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</si>
  <si>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</si>
  <si>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</si>
  <si>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</si>
  <si>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</si>
  <si>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</si>
  <si>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</si>
  <si>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</si>
  <si>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</si>
  <si>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</si>
  <si>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</si>
  <si>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</si>
  <si>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</si>
  <si>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</si>
  <si>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</si>
  <si>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</si>
  <si>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</si>
  <si>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</si>
  <si>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</si>
  <si>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</si>
  <si>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</si>
  <si>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</si>
  <si>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</si>
  <si>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</si>
  <si>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</si>
  <si>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</si>
  <si>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</si>
  <si>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</si>
  <si>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</si>
  <si>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</si>
  <si>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</si>
  <si>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</si>
  <si>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</si>
  <si>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</si>
  <si>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</si>
  <si>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</si>
  <si>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</si>
  <si>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</si>
  <si>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</si>
  <si>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</si>
  <si>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</si>
  <si>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</si>
  <si>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</si>
  <si>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</si>
  <si>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</si>
  <si>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</si>
  <si>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</si>
  <si>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</si>
  <si>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</si>
  <si>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</si>
  <si>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</si>
  <si>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</si>
  <si>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</si>
  <si>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</si>
  <si>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</si>
  <si>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</si>
  <si>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</si>
  <si>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</si>
  <si>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</si>
  <si>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</si>
  <si>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</si>
  <si>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</si>
  <si>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</si>
  <si>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</si>
  <si>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</si>
  <si>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</si>
  <si>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</si>
  <si>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</si>
  <si>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</si>
  <si>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</si>
  <si>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</si>
  <si>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</si>
  <si>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</si>
  <si>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</si>
  <si>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</si>
  <si>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</si>
  <si>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</si>
  <si>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</si>
  <si>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</si>
  <si>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</si>
  <si>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</si>
  <si>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</si>
  <si>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</si>
  <si>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</si>
  <si>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</si>
  <si>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</si>
  <si>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</si>
  <si>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</si>
  <si>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</si>
  <si>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</si>
  <si>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</si>
  <si>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</si>
  <si>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</si>
  <si>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</si>
  <si>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</si>
  <si>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</si>
  <si>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</si>
  <si>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</si>
  <si>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</si>
  <si>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</si>
  <si>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</si>
  <si>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</si>
  <si>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</si>
  <si>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</si>
  <si>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</si>
  <si>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</si>
  <si>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</si>
  <si>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</si>
  <si>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</si>
  <si>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</si>
  <si>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</si>
  <si>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</si>
  <si>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</si>
  <si>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</si>
  <si>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</si>
  <si>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</si>
  <si>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</si>
  <si>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</si>
  <si>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</si>
  <si>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</si>
  <si>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</si>
  <si>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</si>
  <si>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</si>
  <si>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</si>
  <si>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</si>
  <si>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</si>
  <si>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</si>
  <si>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</si>
  <si>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</si>
  <si>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</si>
  <si>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</si>
  <si>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</si>
  <si>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</si>
  <si>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</si>
  <si>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</si>
  <si>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</si>
  <si>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</si>
  <si>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</si>
  <si>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</si>
  <si>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</si>
  <si>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</si>
  <si>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</si>
  <si>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</si>
  <si>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</si>
  <si>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</si>
  <si>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</si>
  <si>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</si>
  <si>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</si>
  <si>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</si>
  <si>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</si>
  <si>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</si>
  <si>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</si>
  <si>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</si>
  <si>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</si>
  <si>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</si>
  <si>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</si>
  <si>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</si>
  <si>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</si>
  <si>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</si>
  <si>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</si>
  <si>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</si>
  <si>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</si>
  <si>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</si>
  <si>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</si>
  <si>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</si>
  <si>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</si>
  <si>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</si>
  <si>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</si>
  <si>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</si>
  <si>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</si>
  <si>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</si>
  <si>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</si>
  <si>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</si>
  <si>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</si>
  <si>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</si>
  <si>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</si>
  <si>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</si>
  <si>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</si>
  <si>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</si>
  <si>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</si>
  <si>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</si>
  <si>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</si>
  <si>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</si>
  <si>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</si>
  <si>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</si>
  <si>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</si>
  <si>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</si>
  <si>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</si>
  <si>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</si>
  <si>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</si>
  <si>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</si>
  <si>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</si>
  <si>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</si>
  <si>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</si>
  <si>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</si>
  <si>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</si>
  <si>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</si>
  <si>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</si>
  <si>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</si>
  <si>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</si>
  <si>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</si>
  <si>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</si>
  <si>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</si>
  <si>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</si>
  <si>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</si>
  <si>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</si>
  <si>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</si>
  <si>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</si>
  <si>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</si>
  <si>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</si>
  <si>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</si>
  <si>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</si>
  <si>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</si>
  <si>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</si>
  <si>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</si>
  <si>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</si>
  <si>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</si>
  <si>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</si>
  <si>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</si>
  <si>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</si>
  <si>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</si>
  <si>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</si>
  <si>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</si>
  <si>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</si>
  <si>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</si>
  <si>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</si>
  <si>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</si>
  <si>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</si>
  <si>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</si>
  <si>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</si>
  <si>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</si>
  <si>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</si>
  <si>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</si>
  <si>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</si>
  <si>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</si>
  <si>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</si>
  <si>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</si>
  <si>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</si>
  <si>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</si>
  <si>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</si>
  <si>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</si>
  <si>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</si>
  <si>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</si>
  <si>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</si>
  <si>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</si>
  <si>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</si>
  <si>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</si>
  <si>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</si>
  <si>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</si>
  <si>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</si>
  <si>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</si>
  <si>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</si>
  <si>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</si>
  <si>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</si>
  <si>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</si>
  <si>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</si>
  <si>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</si>
  <si>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</si>
  <si>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</si>
  <si>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</si>
  <si>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</si>
  <si>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</si>
  <si>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</si>
  <si>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</si>
  <si>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</si>
  <si>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</si>
  <si>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</si>
  <si>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</si>
  <si>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</si>
  <si>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</si>
  <si>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</si>
  <si>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</si>
  <si>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</si>
  <si>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</si>
  <si>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</si>
  <si>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</si>
  <si>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</si>
  <si>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</si>
  <si>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</si>
  <si>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</si>
  <si>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</si>
  <si>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</si>
  <si>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</si>
  <si>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</si>
  <si>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</si>
  <si>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</si>
  <si>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</si>
  <si>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</si>
  <si>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</si>
  <si>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</si>
  <si>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</si>
  <si>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</si>
  <si>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</si>
  <si>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</si>
  <si>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</si>
  <si>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</si>
  <si>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</si>
  <si>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</si>
  <si>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</si>
  <si>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</si>
  <si>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</si>
  <si>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</si>
  <si>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</si>
  <si>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</si>
  <si>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</si>
  <si>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</si>
  <si>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</si>
  <si>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</si>
  <si>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</si>
  <si>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</si>
  <si>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</si>
  <si>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</si>
  <si>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</si>
  <si>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</si>
  <si>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</si>
  <si>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</si>
  <si>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</si>
  <si>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</si>
  <si>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</si>
  <si>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</si>
  <si>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</si>
  <si>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</si>
  <si>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</si>
  <si>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</si>
  <si>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</si>
  <si>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</si>
  <si>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</si>
  <si>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</si>
  <si>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</si>
  <si>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</si>
  <si>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</si>
  <si>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</si>
  <si>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</si>
  <si>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</si>
  <si>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</si>
  <si>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</si>
  <si>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</si>
  <si>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</si>
  <si>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</si>
  <si>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</si>
  <si>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</si>
  <si>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</si>
  <si>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</si>
  <si>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</si>
  <si>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</si>
  <si>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</si>
  <si>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</si>
  <si>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</si>
  <si>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</si>
  <si>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</si>
  <si>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</si>
  <si>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</si>
  <si>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</si>
  <si>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</si>
  <si>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</si>
  <si>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</si>
  <si>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</si>
  <si>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</si>
  <si>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</si>
  <si>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</si>
  <si>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</si>
  <si>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</si>
  <si>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</si>
  <si>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</si>
  <si>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</si>
  <si>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</si>
  <si>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</si>
  <si>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</si>
  <si>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</si>
  <si>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</si>
  <si>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</si>
  <si>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</si>
  <si>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</si>
  <si>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</si>
  <si>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</si>
  <si>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</si>
  <si>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</si>
  <si>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</si>
  <si>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</si>
  <si>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</si>
  <si>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</si>
  <si>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</si>
  <si>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</si>
  <si>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</si>
  <si>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</si>
  <si>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</si>
  <si>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</si>
  <si>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</si>
  <si>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</si>
  <si>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</si>
  <si>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</si>
  <si>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</si>
  <si>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</si>
  <si>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</si>
  <si>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</si>
  <si>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</si>
  <si>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</si>
  <si>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</si>
  <si>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</si>
  <si>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</si>
  <si>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</si>
  <si>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</si>
  <si>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</si>
  <si>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</si>
  <si>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</si>
  <si>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</si>
  <si>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</si>
  <si>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</si>
  <si>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</si>
  <si>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</si>
  <si>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</si>
  <si>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</si>
  <si>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</si>
  <si>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</si>
  <si>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</si>
  <si>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</si>
  <si>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</si>
  <si>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</si>
  <si>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</si>
  <si>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</si>
  <si>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</si>
  <si>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</si>
  <si>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</si>
  <si>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</si>
  <si>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</si>
  <si>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</si>
  <si>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</si>
  <si>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</si>
  <si>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</si>
  <si>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</si>
  <si>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</si>
  <si>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</si>
  <si>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</si>
  <si>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</si>
  <si>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</si>
  <si>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</si>
  <si>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</si>
  <si>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</si>
  <si>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</si>
  <si>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</si>
  <si>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</si>
  <si>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</si>
  <si>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</si>
  <si>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</si>
  <si>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</si>
  <si>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</si>
  <si>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</si>
  <si>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</si>
  <si>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</si>
  <si>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</si>
  <si>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</si>
  <si>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</si>
  <si>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</si>
  <si>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</si>
  <si>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</si>
  <si>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</si>
  <si>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</si>
  <si>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</si>
  <si>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</si>
  <si>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</si>
  <si>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</si>
  <si>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</si>
  <si>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</si>
  <si>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</si>
  <si>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</si>
  <si>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</si>
  <si>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</si>
  <si>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</si>
  <si>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</si>
  <si>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</si>
  <si>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</si>
  <si>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</si>
  <si>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</si>
  <si>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</si>
  <si>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</si>
  <si>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</si>
  <si>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</si>
  <si>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</si>
  <si>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</si>
  <si>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</si>
  <si>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</si>
  <si>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</si>
  <si>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</si>
  <si>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</si>
  <si>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</si>
  <si>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</si>
  <si>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</si>
  <si>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</si>
  <si>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</si>
  <si>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</si>
  <si>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</si>
  <si>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</si>
  <si>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</si>
  <si>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</si>
  <si>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</si>
  <si>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</si>
  <si>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</si>
  <si>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</si>
  <si>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</si>
  <si>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</si>
  <si>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</si>
  <si>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</si>
  <si>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</si>
  <si>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</si>
  <si>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</si>
  <si>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</si>
  <si>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</si>
  <si>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</si>
  <si>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</si>
  <si>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</si>
  <si>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</si>
  <si>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</si>
  <si>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</si>
  <si>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</si>
  <si>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</si>
  <si>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</si>
  <si>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</si>
  <si>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</si>
  <si>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</si>
  <si>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</si>
  <si>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</si>
  <si>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</si>
  <si>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</si>
  <si>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</si>
  <si>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DE_GMK04</t>
  </si>
  <si>
    <t>DE_HEF04</t>
  </si>
  <si>
    <t>Oberhessengas Netz GmbH</t>
  </si>
  <si>
    <t>9870020300008</t>
  </si>
  <si>
    <t>Schulze-Delitzsch-Straße 1</t>
  </si>
  <si>
    <t>Friedberg</t>
  </si>
  <si>
    <t>Sascha Euler</t>
  </si>
  <si>
    <t>netzzugang@oberhessengas-netz.de</t>
  </si>
  <si>
    <t>06031/82-1280</t>
  </si>
  <si>
    <t>Wetteraukreis, Vogelsbergkreis, LG Gießen Teil, Limeshain</t>
  </si>
  <si>
    <t>Bad Nauheim</t>
  </si>
  <si>
    <t>Giessen</t>
  </si>
  <si>
    <t>Deutscher Wetterdienst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</si>
  <si>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</si>
  <si>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</si>
  <si>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</si>
  <si>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</si>
  <si>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</si>
  <si>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</si>
  <si>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</si>
  <si>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</si>
  <si>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DE_GPD04</t>
  </si>
  <si>
    <t>DE_GWA04</t>
  </si>
  <si>
    <t>DE_HMF04</t>
  </si>
  <si>
    <t>Neu-Ulrichstein</t>
  </si>
  <si>
    <t>THE0NKH700203000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</si>
</sst>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/>
    </xf>
    <xf numFmtId="183" fontId="0" fillId="33" borderId="17" xfId="0" applyNumberForma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92" fontId="0" fillId="0" borderId="17" xfId="0" applyNumberFormat="1" applyFont="1" applyFill="1" applyBorder="1" applyAlignment="1" applyProtection="1">
      <alignment horizontal="center" vertical="center"/>
      <protection locked="0"/>
    </xf>
    <xf numFmtId="183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10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zugang@oberhessengas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1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opLeftCell="A4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Oberhessengas Netz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Wetteraukreis, Vogelsbergkreis, LG Gießen Teil, Limeshain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 t="str">
        <f>Netzbetreiber!$D$11</f>
        <v>9870020300008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44562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68" t="s">
        <v>455</v>
      </c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70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73" t="s">
        <v>583</v>
      </c>
      <c r="C10" s="374"/>
      <c r="D10" s="94">
        <v>2</v>
      </c>
      <c r="E10" s="95" t="str">
        <f>IF(ISERROR(HLOOKUP(E$11,$M$9:$AD$35,$D10,0)),"",HLOOKUP(E$11,$M$9:$AD$35,$D10,0))</f>
        <v/>
      </c>
      <c r="F10" s="371" t="s">
        <v>395</v>
      </c>
      <c r="G10" s="371"/>
      <c r="H10" s="371"/>
      <c r="I10" s="371"/>
      <c r="J10" s="371"/>
      <c r="K10" s="371"/>
      <c r="L10" s="372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651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650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545</v>
      </c>
    </row>
    <row r="2" spans="1:16">
      <c r="A2" s="237"/>
      <c r="B2" s="236" t="s">
        <v>453</v>
      </c>
    </row>
    <row r="3" spans="1:16" ht="20.100000000000001" customHeight="1">
      <c r="A3" s="375" t="s">
        <v>249</v>
      </c>
      <c r="B3" s="238" t="s">
        <v>86</v>
      </c>
      <c r="C3" s="239"/>
      <c r="D3" s="377" t="s">
        <v>454</v>
      </c>
      <c r="E3" s="378"/>
      <c r="F3" s="378"/>
      <c r="G3" s="378"/>
      <c r="H3" s="378"/>
      <c r="I3" s="378"/>
      <c r="J3" s="379"/>
      <c r="K3" s="240"/>
      <c r="L3" s="240"/>
      <c r="M3" s="240"/>
      <c r="N3" s="240"/>
      <c r="O3" s="241"/>
      <c r="P3" s="240"/>
    </row>
    <row r="4" spans="1:16" ht="20.100000000000001" customHeight="1">
      <c r="A4" s="376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59.85546875" bestFit="1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44835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44562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659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2" t="s">
        <v>660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661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61169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662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663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64" t="s">
        <v>664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665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Wetteraukreis, Vogelsbergkreis, LG Gießen Teil, Limeshain</v>
      </c>
      <c r="E28" s="38"/>
      <c r="F28" s="11"/>
      <c r="G28" s="2"/>
    </row>
    <row r="29" spans="1:15">
      <c r="B29" s="15"/>
      <c r="C29" s="22" t="s">
        <v>393</v>
      </c>
      <c r="D29" s="353" t="s">
        <v>666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101" priority="3">
      <formula>IF(CELL("Zeile",D30)&lt;$D$25+CELL("Zeile",$D$29),1,0)</formula>
    </cfRule>
  </conditionalFormatting>
  <conditionalFormatting sqref="D30:D48">
    <cfRule type="expression" dxfId="100" priority="2">
      <formula>IF(CELL(D30)&lt;$D$27+27,1,0)</formula>
    </cfRule>
  </conditionalFormatting>
  <conditionalFormatting sqref="D29">
    <cfRule type="expression" dxfId="99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abSelected="1" zoomScale="80" zoomScaleNormal="80" workbookViewId="0">
      <selection activeCell="E13" sqref="E1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Oberhessengas Netz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Wetteraukreis, Vogelsbergkreis, LG Gießen Teil, Limeshain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 t="str">
        <f>Netzbetreiber!$D$11</f>
        <v>9870020300008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44562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6" t="s">
        <v>616</v>
      </c>
      <c r="I11" s="276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268" t="s">
        <v>682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575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2" t="s">
        <v>609</v>
      </c>
      <c r="I19" s="272" t="s">
        <v>610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2" t="s">
        <v>612</v>
      </c>
      <c r="I20" s="8" t="s">
        <v>608</v>
      </c>
      <c r="J20" s="8"/>
      <c r="K20" s="8"/>
      <c r="L20" s="273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2" t="s">
        <v>611</v>
      </c>
      <c r="I21" s="272" t="s">
        <v>618</v>
      </c>
      <c r="J21" s="8"/>
      <c r="K21" s="8"/>
      <c r="L21" s="275" t="s">
        <v>619</v>
      </c>
      <c r="M21" s="275" t="s">
        <v>621</v>
      </c>
      <c r="N21" s="275" t="s">
        <v>620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622</v>
      </c>
      <c r="D24" s="42" t="s">
        <v>623</v>
      </c>
      <c r="E24" s="15"/>
      <c r="H24" s="308" t="s">
        <v>623</v>
      </c>
      <c r="I24" s="274" t="s">
        <v>624</v>
      </c>
      <c r="J24" s="274" t="s">
        <v>625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626</v>
      </c>
      <c r="I25" s="275" t="s">
        <v>627</v>
      </c>
      <c r="J25" s="275" t="s">
        <v>628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629</v>
      </c>
      <c r="I26" s="275" t="s">
        <v>630</v>
      </c>
      <c r="J26" s="275" t="s">
        <v>631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632</v>
      </c>
      <c r="I29" s="275" t="s">
        <v>633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634</v>
      </c>
      <c r="I30" s="272" t="s">
        <v>629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14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3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>
        <f t="shared" ref="I44:V44" si="0">IF(I43&lt;=$D$43,I43,"")</f>
        <v>2</v>
      </c>
      <c r="J44" s="13">
        <f t="shared" si="0"/>
        <v>3</v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354" t="s">
        <v>667</v>
      </c>
    </row>
    <row r="46" spans="2:39" ht="18" customHeight="1">
      <c r="C46" s="22" t="s">
        <v>587</v>
      </c>
      <c r="D46" s="354" t="s">
        <v>668</v>
      </c>
    </row>
    <row r="47" spans="2:39" ht="18" customHeight="1">
      <c r="C47" s="22" t="s">
        <v>588</v>
      </c>
      <c r="D47" s="354" t="s">
        <v>681</v>
      </c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48:D59">
    <cfRule type="expression" dxfId="98" priority="19">
      <formula>IF(CELL("Zeile",D48)&lt;$D$43+CELL("Zeile",$D$45),1,0)</formula>
    </cfRule>
  </conditionalFormatting>
  <conditionalFormatting sqref="D48:D59">
    <cfRule type="expression" dxfId="97" priority="18">
      <formula>IF(CELL(D48)&lt;$D$33+27,1,0)</formula>
    </cfRule>
  </conditionalFormatting>
  <conditionalFormatting sqref="D20">
    <cfRule type="expression" dxfId="96" priority="17">
      <formula>IF($D$19=$H$19,1,0)</formula>
    </cfRule>
  </conditionalFormatting>
  <conditionalFormatting sqref="D28">
    <cfRule type="expression" dxfId="95" priority="6">
      <formula>IF($D$15="synthetisch",1,0)</formula>
    </cfRule>
  </conditionalFormatting>
  <conditionalFormatting sqref="D25">
    <cfRule type="expression" dxfId="94" priority="4">
      <formula>IF(AND($D$24=$I$24,$D$23=$H$23),1,0)</formula>
    </cfRule>
  </conditionalFormatting>
  <conditionalFormatting sqref="D23:D25">
    <cfRule type="expression" dxfId="93" priority="7">
      <formula>IF($D$15="analytisch",1,0)</formula>
    </cfRule>
  </conditionalFormatting>
  <conditionalFormatting sqref="D24">
    <cfRule type="expression" dxfId="92" priority="5">
      <formula>IF($D$23="nein",1)</formula>
    </cfRule>
  </conditionalFormatting>
  <conditionalFormatting sqref="D13">
    <cfRule type="expression" dxfId="91" priority="3">
      <formula>IF($D$11="Gaspool",1,0)</formula>
    </cfRule>
  </conditionalFormatting>
  <conditionalFormatting sqref="D45:D47">
    <cfRule type="expression" dxfId="90" priority="2">
      <formula>IF(CELL("Zeile",D45)&lt;$D$46+CELL("Zeile",$D$48),1,0)</formula>
    </cfRule>
  </conditionalFormatting>
  <conditionalFormatting sqref="D46:D47">
    <cfRule type="expression" dxfId="89" priority="1">
      <formula>IF(CELL(D46)&lt;$D$36+27,1,0)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A22" zoomScaleNormal="100" workbookViewId="0">
      <selection activeCell="E36" sqref="E3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tr">
        <f>'SLP-Verfahren'!D5</f>
        <v>Oberhessengas Netz GmbH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Wetteraukreis, Vogelsbergkreis, LG Gießen Teil, Limeshain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3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1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 t="str">
        <f>INDEX('SLP-Verfahren'!D45:D59,'SLP-Temp-Gebiet Bad Nauheim'!F10)</f>
        <v>Bad Nauheim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65" t="s">
        <v>584</v>
      </c>
      <c r="D13" s="365"/>
      <c r="E13" s="365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6" t="s">
        <v>445</v>
      </c>
      <c r="D14" s="366"/>
      <c r="E14" s="89" t="s">
        <v>446</v>
      </c>
      <c r="F14" s="266"/>
      <c r="G14" s="267"/>
      <c r="H14" s="50"/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66" t="s">
        <v>385</v>
      </c>
      <c r="D15" s="366"/>
      <c r="E15" s="89" t="s">
        <v>446</v>
      </c>
      <c r="F15" s="266"/>
      <c r="G15" s="267"/>
      <c r="H15" s="50"/>
      <c r="I15" s="56"/>
      <c r="J15" s="130"/>
      <c r="K15" s="130"/>
      <c r="L15" s="130"/>
      <c r="M15" s="130"/>
      <c r="N15" s="130"/>
      <c r="O15" s="355" t="s">
        <v>669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517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523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537</v>
      </c>
      <c r="D22" s="186">
        <f>SUMPRODUCT(E22:N22,E19:N19)</f>
        <v>1</v>
      </c>
      <c r="E22" s="289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344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520</v>
      </c>
      <c r="D24" s="188"/>
      <c r="E24" s="344" t="s">
        <v>667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356">
        <v>3442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357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655</v>
      </c>
      <c r="T26" s="209" t="s">
        <v>656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Bad Nauheim'!E25,"B"),IF('SLP-Temp-Gebiet Bad Nauheim'!E26="Allgemeine GPT",CONCATENATE(Netzbetreiber!$D$11,'SLP-Temp-Gebiet Bad Nauheim'!E25,"A"),""))</f>
        <v/>
      </c>
      <c r="F27" s="350" t="str">
        <f>IF(F26="Individuelle GPT",CONCATENATE(Netzbetreiber!$D$11,'SLP-Temp-Gebiet Bad Nauheim'!F25,"B"),IF('SLP-Temp-Gebiet Bad Nauheim'!F26="Allgemeine GPT",CONCATENATE(Netzbetreiber!$D$11,'SLP-Temp-Gebiet Bad Nauheim'!F25,"A"),""))</f>
        <v/>
      </c>
      <c r="G27" s="350" t="str">
        <f>IF(G26="Individuelle GPT",CONCATENATE(Netzbetreiber!$D$11,'SLP-Temp-Gebiet Bad Nauheim'!G25,"B"),IF('SLP-Temp-Gebiet Bad Nauheim'!G26="Allgemeine GPT",CONCATENATE(Netzbetreiber!$D$11,'SLP-Temp-Gebiet Bad Nauheim'!G25,"A"),""))</f>
        <v/>
      </c>
      <c r="H27" s="350" t="str">
        <f>IF(H26="Individuelle GPT",CONCATENATE(Netzbetreiber!$D$11,'SLP-Temp-Gebiet Bad Nauheim'!H25,"B"),IF('SLP-Temp-Gebiet Bad Nauheim'!H26="Allgemeine GPT",CONCATENATE(Netzbetreiber!$D$11,'SLP-Temp-Gebiet Bad Nauheim'!H25,"A"),""))</f>
        <v/>
      </c>
      <c r="I27" s="350" t="str">
        <f>IF(I26="Individuelle GPT",CONCATENATE(Netzbetreiber!$D$11,'SLP-Temp-Gebiet Bad Nauheim'!I25,"B"),IF('SLP-Temp-Gebiet Bad Nauheim'!I26="Allgemeine GPT",CONCATENATE(Netzbetreiber!$D$11,'SLP-Temp-Gebiet Bad Nauheim'!I25,"A"),""))</f>
        <v/>
      </c>
      <c r="J27" s="350" t="str">
        <f>IF(J26="Individuelle GPT",CONCATENATE(Netzbetreiber!$D$11,'SLP-Temp-Gebiet Bad Nauheim'!J25,"B"),IF('SLP-Temp-Gebiet Bad Nauheim'!J26="Allgemeine GPT",CONCATENATE(Netzbetreiber!$D$11,'SLP-Temp-Gebiet Bad Nauheim'!J25,"A"),""))</f>
        <v/>
      </c>
      <c r="K27" s="350" t="str">
        <f>IF(K26="Individuelle GPT",CONCATENATE(Netzbetreiber!$D$11,'SLP-Temp-Gebiet Bad Nauheim'!K25,"B"),IF('SLP-Temp-Gebiet Bad Nauheim'!K26="Allgemeine GPT",CONCATENATE(Netzbetreiber!$D$11,'SLP-Temp-Gebiet Bad Nauheim'!K25,"A"),""))</f>
        <v/>
      </c>
      <c r="L27" s="350" t="str">
        <f>IF(L26="Individuelle GPT",CONCATENATE(Netzbetreiber!$D$11,'SLP-Temp-Gebiet Bad Nauheim'!L25,"B"),IF('SLP-Temp-Gebiet Bad Nauheim'!L26="Allgemeine GPT",CONCATENATE(Netzbetreiber!$D$11,'SLP-Temp-Gebiet Bad Nauheim'!L25,"A"),""))</f>
        <v/>
      </c>
      <c r="M27" s="350" t="str">
        <f>IF(M26="Individuelle GPT",CONCATENATE(Netzbetreiber!$D$11,'SLP-Temp-Gebiet Bad Nauheim'!M25,"B"),IF('SLP-Temp-Gebiet Bad Nauheim'!M26="Allgemeine GPT",CONCATENATE(Netzbetreiber!$D$11,'SLP-Temp-Gebiet Bad Nauheim'!M25,"A"),""))</f>
        <v/>
      </c>
      <c r="N27" s="350" t="str">
        <f>IF(N26="Individuelle GPT",CONCATENATE(Netzbetreiber!$D$11,'SLP-Temp-Gebiet Bad Nauheim'!N25,"B"),IF('SLP-Temp-Gebiet Bad Nauheim'!N26="Allgemeine GPT",CONCATENATE(Netzbetreiber!$D$11,'SLP-Temp-Gebiet Bad Nauheim'!N25,"A"),""))</f>
        <v/>
      </c>
      <c r="O27" s="351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526</v>
      </c>
      <c r="D32" s="186" t="s">
        <v>255</v>
      </c>
      <c r="E32" s="289">
        <f>1-SUMPRODUCT(F30:N30,F32:N32)</f>
        <v>0.5333</v>
      </c>
      <c r="F32" s="289">
        <f>ROUND(F33/$D$33,4)</f>
        <v>0.26669999999999999</v>
      </c>
      <c r="G32" s="289">
        <f t="shared" ref="G32:N32" si="3">ROUND(G33/$D$33,4)</f>
        <v>0.1333</v>
      </c>
      <c r="H32" s="289">
        <f t="shared" si="3"/>
        <v>6.6699999999999995E-2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533</v>
      </c>
      <c r="D33" s="293">
        <f>SUMPRODUCT(E33:N33,E30:N30)</f>
        <v>1.875</v>
      </c>
      <c r="E33" s="291">
        <v>1</v>
      </c>
      <c r="F33" s="291">
        <v>0.5</v>
      </c>
      <c r="G33" s="291">
        <v>0.25</v>
      </c>
      <c r="H33" s="291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357" t="s">
        <v>3</v>
      </c>
      <c r="F34" s="357" t="s">
        <v>357</v>
      </c>
      <c r="G34" s="357" t="s">
        <v>348</v>
      </c>
      <c r="H34" s="357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357" t="s">
        <v>512</v>
      </c>
      <c r="F35" s="357" t="s">
        <v>512</v>
      </c>
      <c r="G35" s="357" t="s">
        <v>512</v>
      </c>
      <c r="H35" s="357" t="s">
        <v>512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605</v>
      </c>
      <c r="D36" s="153" t="s">
        <v>606</v>
      </c>
      <c r="E36" s="357" t="s">
        <v>604</v>
      </c>
      <c r="F36" s="357" t="s">
        <v>604</v>
      </c>
      <c r="G36" s="357" t="s">
        <v>604</v>
      </c>
      <c r="H36" s="357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5" t="s">
        <v>142</v>
      </c>
      <c r="Q36" s="211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538</v>
      </c>
      <c r="E37" s="363" t="s">
        <v>449</v>
      </c>
      <c r="F37" s="363" t="s">
        <v>449</v>
      </c>
      <c r="G37" s="363" t="s">
        <v>450</v>
      </c>
      <c r="H37" s="363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532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530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535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536</v>
      </c>
      <c r="D47" s="201" t="s">
        <v>534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534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579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518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525</v>
      </c>
      <c r="D56" s="153" t="s">
        <v>515</v>
      </c>
      <c r="E56" s="289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537</v>
      </c>
      <c r="D57" s="186">
        <f>SUMPRODUCT(E57:N57,E54:N54)</f>
        <v>1</v>
      </c>
      <c r="E57" s="291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357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357" t="str">
        <f>E24</f>
        <v>Bad Nauheim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521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361">
        <f>E25</f>
        <v>3442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362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7">
        <f>F29</f>
        <v>4</v>
      </c>
    </row>
    <row r="64" spans="2:28" ht="15" customHeight="1">
      <c r="E64" s="178">
        <f>IF(E65&gt;$F$63,0,1)</f>
        <v>1</v>
      </c>
      <c r="F64" s="178">
        <f t="shared" ref="F64:N64" si="11">IF(F65&gt;$F$63,0,1)</f>
        <v>1</v>
      </c>
      <c r="G64" s="178">
        <f t="shared" si="11"/>
        <v>1</v>
      </c>
      <c r="H64" s="178">
        <f t="shared" si="11"/>
        <v>1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526</v>
      </c>
      <c r="D66" s="186" t="s">
        <v>255</v>
      </c>
      <c r="E66" s="289">
        <f>1-SUMPRODUCT(F64:N64,F66:N66)</f>
        <v>0.5333</v>
      </c>
      <c r="F66" s="289">
        <f>ROUND(F67/$D$67,4)</f>
        <v>0.26669999999999999</v>
      </c>
      <c r="G66" s="289">
        <f t="shared" ref="G66:N66" si="12">ROUND(G67/$D$67,4)</f>
        <v>0.1333</v>
      </c>
      <c r="H66" s="289">
        <f t="shared" si="12"/>
        <v>6.6699999999999995E-2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533</v>
      </c>
      <c r="D67" s="186">
        <f>SUMPRODUCT(E67:N67,E64:N64)</f>
        <v>1.875</v>
      </c>
      <c r="E67" s="358">
        <f>E33</f>
        <v>1</v>
      </c>
      <c r="F67" s="358">
        <f t="shared" ref="F67:N67" si="13">F33</f>
        <v>0.5</v>
      </c>
      <c r="G67" s="358">
        <f t="shared" si="13"/>
        <v>0.25</v>
      </c>
      <c r="H67" s="358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357" t="str">
        <f>E34</f>
        <v>D</v>
      </c>
      <c r="F68" s="357" t="str">
        <f t="shared" ref="F68:N68" si="14">F34</f>
        <v>D-1</v>
      </c>
      <c r="G68" s="357" t="str">
        <f t="shared" si="14"/>
        <v>D-2</v>
      </c>
      <c r="H68" s="357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359" t="str">
        <f>E35</f>
        <v>Kalendertag</v>
      </c>
      <c r="F69" s="359" t="str">
        <f t="shared" ref="F69:N69" si="15">F35</f>
        <v>Kalendertag</v>
      </c>
      <c r="G69" s="359" t="str">
        <f t="shared" si="15"/>
        <v>Kalendertag</v>
      </c>
      <c r="H69" s="359" t="str">
        <f t="shared" si="15"/>
        <v>Kalendertag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605</v>
      </c>
      <c r="D70" s="153" t="s">
        <v>606</v>
      </c>
      <c r="E70" s="359" t="str">
        <f>E36</f>
        <v>CET/CEST</v>
      </c>
      <c r="F70" s="359" t="str">
        <f t="shared" ref="F70:N70" si="16">F36</f>
        <v>CET/CEST</v>
      </c>
      <c r="G70" s="359" t="str">
        <f t="shared" si="16"/>
        <v>CET/CEST</v>
      </c>
      <c r="H70" s="3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538</v>
      </c>
      <c r="E71" s="360" t="s">
        <v>450</v>
      </c>
      <c r="F71" s="360" t="s">
        <v>450</v>
      </c>
      <c r="G71" s="360" t="str">
        <f t="shared" ref="G71:N71" si="17">G37</f>
        <v>Temp.-IST</v>
      </c>
      <c r="H71" s="360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67" t="s">
        <v>580</v>
      </c>
      <c r="D73" s="367"/>
      <c r="E73" s="367"/>
      <c r="F73" s="367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F22:N25">
    <cfRule type="expression" dxfId="88" priority="30">
      <formula>IF(F$20&lt;=$F$18,1,0)</formula>
    </cfRule>
  </conditionalFormatting>
  <conditionalFormatting sqref="E33:N37">
    <cfRule type="expression" dxfId="87" priority="29">
      <formula>IF(E$31&lt;=$F$29,1,0)</formula>
    </cfRule>
  </conditionalFormatting>
  <conditionalFormatting sqref="E26:N26">
    <cfRule type="expression" dxfId="86" priority="28">
      <formula>IF(E$20&lt;=$F$18,1,0)</formula>
    </cfRule>
  </conditionalFormatting>
  <conditionalFormatting sqref="E26:N26">
    <cfRule type="expression" dxfId="85" priority="27">
      <formula>IF(E$20&lt;=$F$18,1,0)</formula>
    </cfRule>
  </conditionalFormatting>
  <conditionalFormatting sqref="E57:N60">
    <cfRule type="expression" dxfId="84" priority="24">
      <formula>IF(E$55&lt;=$F$53,1,0)</formula>
    </cfRule>
  </conditionalFormatting>
  <conditionalFormatting sqref="E61:N61">
    <cfRule type="expression" dxfId="83" priority="23">
      <formula>IF(E$55&lt;=$F$53,1,0)</formula>
    </cfRule>
  </conditionalFormatting>
  <conditionalFormatting sqref="E67:N69">
    <cfRule type="expression" dxfId="82" priority="17">
      <formula>IF(E$65&lt;=$F$63,1,0)</formula>
    </cfRule>
  </conditionalFormatting>
  <conditionalFormatting sqref="E66:N69 E71:N71">
    <cfRule type="expression" dxfId="81" priority="15">
      <formula>IF(E$65&gt;$F$63,1,0)</formula>
    </cfRule>
  </conditionalFormatting>
  <conditionalFormatting sqref="E57:N61">
    <cfRule type="expression" dxfId="80" priority="14">
      <formula>IF(E$55&gt;$F$53,1,0)</formula>
    </cfRule>
  </conditionalFormatting>
  <conditionalFormatting sqref="E21:N21 E26:N26 F22:N25">
    <cfRule type="expression" dxfId="79" priority="13">
      <formula>IF(E$20&gt;$F$18,1,0)</formula>
    </cfRule>
  </conditionalFormatting>
  <conditionalFormatting sqref="E33:N37">
    <cfRule type="expression" dxfId="78" priority="12">
      <formula>IF(E$31&gt;$F$29,1,0)</formula>
    </cfRule>
  </conditionalFormatting>
  <conditionalFormatting sqref="H11 H8:H9">
    <cfRule type="expression" dxfId="77" priority="11">
      <formula>IF($F$9=1,1,0)</formula>
    </cfRule>
  </conditionalFormatting>
  <conditionalFormatting sqref="E56:N56">
    <cfRule type="expression" dxfId="76" priority="10">
      <formula>IF(E$55&gt;$F$53,1,0)</formula>
    </cfRule>
  </conditionalFormatting>
  <conditionalFormatting sqref="E32:N32">
    <cfRule type="expression" dxfId="75" priority="9">
      <formula>IF(E$31&gt;$F$29,1,0)</formula>
    </cfRule>
  </conditionalFormatting>
  <conditionalFormatting sqref="E71:N71">
    <cfRule type="expression" dxfId="74" priority="8">
      <formula>IF(E$65&lt;=$F$63,1,0)</formula>
    </cfRule>
  </conditionalFormatting>
  <conditionalFormatting sqref="H10">
    <cfRule type="expression" dxfId="73" priority="7">
      <formula>IF($F$9=1,1,0)</formula>
    </cfRule>
  </conditionalFormatting>
  <conditionalFormatting sqref="E70:N70">
    <cfRule type="expression" dxfId="72" priority="4">
      <formula>IF(E$65&lt;=$F$63,1,0)</formula>
    </cfRule>
  </conditionalFormatting>
  <conditionalFormatting sqref="E70:N70">
    <cfRule type="expression" dxfId="71" priority="3">
      <formula>IF(E$65&gt;$F$63,1,0)</formula>
    </cfRule>
  </conditionalFormatting>
  <conditionalFormatting sqref="E22:E25">
    <cfRule type="expression" dxfId="70" priority="2">
      <formula>IF(E$20&lt;=$F$18,1,0)</formula>
    </cfRule>
  </conditionalFormatting>
  <conditionalFormatting sqref="E22:E25">
    <cfRule type="expression" dxfId="69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58:N58 E23:N23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F22 I22:N22 F53 F63 G24:N24 G71:N71 E33:N34 E70:N70 I35:N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Wetteraukreis, Vogelsbergkreis, LG Gießen Teil, Limeshain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3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 t="str">
        <f>INDEX('SLP-Verfahren'!D45:D59,'SLP-Temp-Gebiet #02'!F10)</f>
        <v>Giessen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65" t="s">
        <v>584</v>
      </c>
      <c r="D13" s="365"/>
      <c r="E13" s="365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6" t="s">
        <v>445</v>
      </c>
      <c r="D14" s="366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66" t="s">
        <v>385</v>
      </c>
      <c r="D15" s="366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523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525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537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520</v>
      </c>
      <c r="D24" s="188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526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533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538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525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520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526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533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67" t="s">
        <v>580</v>
      </c>
      <c r="D72" s="367"/>
      <c r="E72" s="367"/>
      <c r="F72" s="367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68" priority="18">
      <formula>IF(E$20&lt;=$F$18,1,0)</formula>
    </cfRule>
  </conditionalFormatting>
  <conditionalFormatting sqref="E32:N36">
    <cfRule type="expression" dxfId="67" priority="17">
      <formula>IF(E$30&lt;=$F$28,1,0)</formula>
    </cfRule>
  </conditionalFormatting>
  <conditionalFormatting sqref="E26:F26">
    <cfRule type="expression" dxfId="66" priority="16">
      <formula>IF(E$20&lt;=$F$18,1,0)</formula>
    </cfRule>
  </conditionalFormatting>
  <conditionalFormatting sqref="E26:N26">
    <cfRule type="expression" dxfId="65" priority="15">
      <formula>IF(E$20&lt;=$F$18,1,0)</formula>
    </cfRule>
  </conditionalFormatting>
  <conditionalFormatting sqref="E56:N59">
    <cfRule type="expression" dxfId="64" priority="14">
      <formula>IF(E$54&lt;=$F$52,1,0)</formula>
    </cfRule>
  </conditionalFormatting>
  <conditionalFormatting sqref="E60:N60">
    <cfRule type="expression" dxfId="63" priority="13">
      <formula>IF(E$54&lt;=$F$52,1,0)</formula>
    </cfRule>
  </conditionalFormatting>
  <conditionalFormatting sqref="E66:N68">
    <cfRule type="expression" dxfId="62" priority="12">
      <formula>IF(E$64&lt;=$F$62,1,0)</formula>
    </cfRule>
  </conditionalFormatting>
  <conditionalFormatting sqref="E65:N68 E70:N70">
    <cfRule type="expression" dxfId="61" priority="11">
      <formula>IF(E$64&gt;$F$62,1,0)</formula>
    </cfRule>
  </conditionalFormatting>
  <conditionalFormatting sqref="E56:N60">
    <cfRule type="expression" dxfId="60" priority="10">
      <formula>IF(E$54&gt;$F$52,1,0)</formula>
    </cfRule>
  </conditionalFormatting>
  <conditionalFormatting sqref="E21:N26">
    <cfRule type="expression" dxfId="59" priority="9">
      <formula>IF(E$20&gt;$F$18,1,0)</formula>
    </cfRule>
  </conditionalFormatting>
  <conditionalFormatting sqref="E32:N36">
    <cfRule type="expression" dxfId="58" priority="8">
      <formula>IF(E$30&gt;$F$28,1,0)</formula>
    </cfRule>
  </conditionalFormatting>
  <conditionalFormatting sqref="H11 H8:H9">
    <cfRule type="expression" dxfId="57" priority="7">
      <formula>IF($F$9=1,1,0)</formula>
    </cfRule>
  </conditionalFormatting>
  <conditionalFormatting sqref="E55:N55">
    <cfRule type="expression" dxfId="56" priority="6">
      <formula>IF(E$54&gt;$F$52,1,0)</formula>
    </cfRule>
  </conditionalFormatting>
  <conditionalFormatting sqref="E31:N31">
    <cfRule type="expression" dxfId="55" priority="5">
      <formula>IF(E$30&gt;$F$28,1,0)</formula>
    </cfRule>
  </conditionalFormatting>
  <conditionalFormatting sqref="E70:N70">
    <cfRule type="expression" dxfId="54" priority="4">
      <formula>IF(E$64&lt;=$F$62,1,0)</formula>
    </cfRule>
  </conditionalFormatting>
  <conditionalFormatting sqref="H10">
    <cfRule type="expression" dxfId="53" priority="3">
      <formula>IF($F$9=1,1,0)</formula>
    </cfRule>
  </conditionalFormatting>
  <conditionalFormatting sqref="E69:N69">
    <cfRule type="expression" dxfId="52" priority="2">
      <formula>IF(E$64&lt;=$F$62,1,0)</formula>
    </cfRule>
  </conditionalFormatting>
  <conditionalFormatting sqref="E69:N69">
    <cfRule type="expression" dxfId="5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V79"/>
  <sheetViews>
    <sheetView showGridLines="0" topLeftCell="A7" zoomScaleNormal="100" workbookViewId="0">
      <selection activeCell="E4" sqref="E4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tr">
        <f>'SLP-Verfahren'!D5</f>
        <v>Oberhessengas Netz GmbH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Wetteraukreis, Vogelsbergkreis, LG Gießen Teil, Limeshain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3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 t="str">
        <f>INDEX('SLP-Verfahren'!D45:D59,'SLP-Temp-Gebiet Gießen'!F10)</f>
        <v>Giessen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65" t="s">
        <v>584</v>
      </c>
      <c r="D13" s="365"/>
      <c r="E13" s="365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6" t="s">
        <v>445</v>
      </c>
      <c r="D14" s="366"/>
      <c r="E14" s="89" t="s">
        <v>446</v>
      </c>
      <c r="F14" s="266"/>
      <c r="G14" s="267"/>
      <c r="H14" s="50"/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66" t="s">
        <v>385</v>
      </c>
      <c r="D15" s="366"/>
      <c r="E15" s="89" t="s">
        <v>446</v>
      </c>
      <c r="F15" s="266"/>
      <c r="G15" s="267"/>
      <c r="H15" s="50"/>
      <c r="I15" s="56"/>
      <c r="J15" s="130"/>
      <c r="K15" s="130"/>
      <c r="L15" s="130"/>
      <c r="M15" s="130"/>
      <c r="N15" s="130"/>
      <c r="O15" s="355" t="s">
        <v>669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47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517</v>
      </c>
      <c r="C17" s="177"/>
      <c r="D17" s="34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523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537</v>
      </c>
      <c r="D22" s="186">
        <f>SUMPRODUCT(E22:N22,E19:N19)</f>
        <v>1</v>
      </c>
      <c r="E22" s="289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344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520</v>
      </c>
      <c r="D24" s="188"/>
      <c r="E24" s="344" t="s">
        <v>668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356">
        <v>1639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357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655</v>
      </c>
      <c r="T26" s="209" t="s">
        <v>656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Gießen'!E25,"B"),IF('SLP-Temp-Gebiet Gießen'!E26="Allgemeine GPT",CONCATENATE(Netzbetreiber!$D$11,'SLP-Temp-Gebiet Gießen'!E25,"A"),""))</f>
        <v/>
      </c>
      <c r="F27" s="350" t="str">
        <f>IF(F26="Individuelle GPT",CONCATENATE(Netzbetreiber!$D$11,'SLP-Temp-Gebiet Gießen'!F25,"B"),IF('SLP-Temp-Gebiet Gießen'!F26="Allgemeine GPT",CONCATENATE(Netzbetreiber!$D$11,'SLP-Temp-Gebiet Gießen'!F25,"A"),""))</f>
        <v/>
      </c>
      <c r="G27" s="350" t="str">
        <f>IF(G26="Individuelle GPT",CONCATENATE(Netzbetreiber!$D$11,'SLP-Temp-Gebiet Gießen'!G25,"B"),IF('SLP-Temp-Gebiet Gießen'!G26="Allgemeine GPT",CONCATENATE(Netzbetreiber!$D$11,'SLP-Temp-Gebiet Gießen'!G25,"A"),""))</f>
        <v/>
      </c>
      <c r="H27" s="350" t="str">
        <f>IF(H26="Individuelle GPT",CONCATENATE(Netzbetreiber!$D$11,'SLP-Temp-Gebiet Gießen'!H25,"B"),IF('SLP-Temp-Gebiet Gießen'!H26="Allgemeine GPT",CONCATENATE(Netzbetreiber!$D$11,'SLP-Temp-Gebiet Gießen'!H25,"A"),""))</f>
        <v/>
      </c>
      <c r="I27" s="350" t="str">
        <f>IF(I26="Individuelle GPT",CONCATENATE(Netzbetreiber!$D$11,'SLP-Temp-Gebiet Gießen'!I25,"B"),IF('SLP-Temp-Gebiet Gießen'!I26="Allgemeine GPT",CONCATENATE(Netzbetreiber!$D$11,'SLP-Temp-Gebiet Gießen'!I25,"A"),""))</f>
        <v/>
      </c>
      <c r="J27" s="350" t="str">
        <f>IF(J26="Individuelle GPT",CONCATENATE(Netzbetreiber!$D$11,'SLP-Temp-Gebiet Gießen'!J25,"B"),IF('SLP-Temp-Gebiet Gießen'!J26="Allgemeine GPT",CONCATENATE(Netzbetreiber!$D$11,'SLP-Temp-Gebiet Gießen'!J25,"A"),""))</f>
        <v/>
      </c>
      <c r="K27" s="350" t="str">
        <f>IF(K26="Individuelle GPT",CONCATENATE(Netzbetreiber!$D$11,'SLP-Temp-Gebiet Gießen'!K25,"B"),IF('SLP-Temp-Gebiet Gießen'!K26="Allgemeine GPT",CONCATENATE(Netzbetreiber!$D$11,'SLP-Temp-Gebiet Gießen'!K25,"A"),""))</f>
        <v/>
      </c>
      <c r="L27" s="350" t="str">
        <f>IF(L26="Individuelle GPT",CONCATENATE(Netzbetreiber!$D$11,'SLP-Temp-Gebiet Gießen'!L25,"B"),IF('SLP-Temp-Gebiet Gießen'!L26="Allgemeine GPT",CONCATENATE(Netzbetreiber!$D$11,'SLP-Temp-Gebiet Gießen'!L25,"A"),""))</f>
        <v/>
      </c>
      <c r="M27" s="350" t="str">
        <f>IF(M26="Individuelle GPT",CONCATENATE(Netzbetreiber!$D$11,'SLP-Temp-Gebiet Gießen'!M25,"B"),IF('SLP-Temp-Gebiet Gießen'!M26="Allgemeine GPT",CONCATENATE(Netzbetreiber!$D$11,'SLP-Temp-Gebiet Gießen'!M25,"A"),""))</f>
        <v/>
      </c>
      <c r="N27" s="350" t="str">
        <f>IF(N26="Individuelle GPT",CONCATENATE(Netzbetreiber!$D$11,'SLP-Temp-Gebiet Gießen'!N25,"B"),IF('SLP-Temp-Gebiet Gießen'!N26="Allgemeine GPT",CONCATENATE(Netzbetreiber!$D$11,'SLP-Temp-Gebiet Gießen'!N25,"A"),""))</f>
        <v/>
      </c>
      <c r="O27" s="351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526</v>
      </c>
      <c r="D32" s="186" t="s">
        <v>255</v>
      </c>
      <c r="E32" s="289">
        <f>1-SUMPRODUCT(F30:N30,F32:N32)</f>
        <v>0.5333</v>
      </c>
      <c r="F32" s="289">
        <f>ROUND(F33/$D$33,4)</f>
        <v>0.26669999999999999</v>
      </c>
      <c r="G32" s="289">
        <f t="shared" ref="G32:N32" si="3">ROUND(G33/$D$33,4)</f>
        <v>0.1333</v>
      </c>
      <c r="H32" s="289">
        <f t="shared" si="3"/>
        <v>6.6699999999999995E-2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533</v>
      </c>
      <c r="D33" s="293">
        <f>SUMPRODUCT(E33:N33,E30:N30)</f>
        <v>1.875</v>
      </c>
      <c r="E33" s="291">
        <v>1</v>
      </c>
      <c r="F33" s="291">
        <v>0.5</v>
      </c>
      <c r="G33" s="291">
        <v>0.25</v>
      </c>
      <c r="H33" s="291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357" t="s">
        <v>3</v>
      </c>
      <c r="F34" s="357" t="s">
        <v>357</v>
      </c>
      <c r="G34" s="357" t="s">
        <v>348</v>
      </c>
      <c r="H34" s="357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357" t="s">
        <v>512</v>
      </c>
      <c r="F35" s="357" t="s">
        <v>512</v>
      </c>
      <c r="G35" s="357" t="s">
        <v>512</v>
      </c>
      <c r="H35" s="357" t="s">
        <v>512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605</v>
      </c>
      <c r="D36" s="153" t="s">
        <v>606</v>
      </c>
      <c r="E36" s="357" t="s">
        <v>604</v>
      </c>
      <c r="F36" s="357" t="s">
        <v>604</v>
      </c>
      <c r="G36" s="357" t="s">
        <v>604</v>
      </c>
      <c r="H36" s="357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5" t="s">
        <v>142</v>
      </c>
      <c r="Q36" s="211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538</v>
      </c>
      <c r="E37" s="363" t="s">
        <v>449</v>
      </c>
      <c r="F37" s="363" t="s">
        <v>449</v>
      </c>
      <c r="G37" s="363" t="s">
        <v>450</v>
      </c>
      <c r="H37" s="363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532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530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535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536</v>
      </c>
      <c r="D47" s="201" t="s">
        <v>534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534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579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518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525</v>
      </c>
      <c r="D56" s="153" t="s">
        <v>515</v>
      </c>
      <c r="E56" s="289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537</v>
      </c>
      <c r="D57" s="186">
        <f>SUMPRODUCT(E57:N57,E54:N54)</f>
        <v>1</v>
      </c>
      <c r="E57" s="291">
        <f>E22</f>
        <v>1</v>
      </c>
      <c r="F57" s="288">
        <f t="shared" ref="F57:N61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357" t="str">
        <f>E23</f>
        <v>DWD</v>
      </c>
      <c r="F58" s="156" t="str">
        <f t="shared" si="6"/>
        <v>DWD</v>
      </c>
      <c r="G58" s="156" t="str">
        <f t="shared" si="6"/>
        <v>DWD</v>
      </c>
      <c r="H58" s="156" t="str">
        <f t="shared" si="6"/>
        <v>DWD</v>
      </c>
      <c r="I58" s="156" t="str">
        <f t="shared" si="6"/>
        <v>DWD</v>
      </c>
      <c r="J58" s="156" t="str">
        <f t="shared" si="6"/>
        <v>DWD</v>
      </c>
      <c r="K58" s="156" t="str">
        <f t="shared" si="6"/>
        <v>DWD</v>
      </c>
      <c r="L58" s="156" t="str">
        <f t="shared" si="6"/>
        <v>DWD</v>
      </c>
      <c r="M58" s="156" t="str">
        <f t="shared" si="6"/>
        <v>DWD</v>
      </c>
      <c r="N58" s="156" t="str">
        <f t="shared" si="6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357" t="str">
        <f>E24</f>
        <v>Giessen</v>
      </c>
      <c r="F59" s="156" t="str">
        <f t="shared" si="6"/>
        <v>DEF-St.</v>
      </c>
      <c r="G59" s="156">
        <f t="shared" si="6"/>
        <v>0</v>
      </c>
      <c r="H59" s="156">
        <f t="shared" si="6"/>
        <v>0</v>
      </c>
      <c r="I59" s="156">
        <f t="shared" si="6"/>
        <v>0</v>
      </c>
      <c r="J59" s="156">
        <f t="shared" si="6"/>
        <v>0</v>
      </c>
      <c r="K59" s="156">
        <f t="shared" si="6"/>
        <v>0</v>
      </c>
      <c r="L59" s="156">
        <f t="shared" si="6"/>
        <v>0</v>
      </c>
      <c r="M59" s="156">
        <f t="shared" si="6"/>
        <v>0</v>
      </c>
      <c r="N59" s="156">
        <f t="shared" si="6"/>
        <v>0</v>
      </c>
      <c r="O59" s="185" t="s">
        <v>521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361">
        <f>E25</f>
        <v>1639</v>
      </c>
      <c r="F60" s="160" t="str">
        <f t="shared" si="6"/>
        <v>xxxxx</v>
      </c>
      <c r="G60" s="160">
        <f t="shared" si="6"/>
        <v>0</v>
      </c>
      <c r="H60" s="160">
        <f t="shared" si="6"/>
        <v>0</v>
      </c>
      <c r="I60" s="160">
        <f t="shared" si="6"/>
        <v>0</v>
      </c>
      <c r="J60" s="160">
        <f t="shared" si="6"/>
        <v>0</v>
      </c>
      <c r="K60" s="160">
        <f t="shared" si="6"/>
        <v>0</v>
      </c>
      <c r="L60" s="160">
        <f t="shared" si="6"/>
        <v>0</v>
      </c>
      <c r="M60" s="160">
        <f t="shared" si="6"/>
        <v>0</v>
      </c>
      <c r="N60" s="160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362" t="str">
        <f>E26</f>
        <v>Temp. (2m)</v>
      </c>
      <c r="F61" s="158" t="str">
        <f t="shared" si="6"/>
        <v>Temp. (2m)</v>
      </c>
      <c r="G61" s="158" t="str">
        <f t="shared" si="6"/>
        <v>Temp. (2m)</v>
      </c>
      <c r="H61" s="158" t="str">
        <f t="shared" si="6"/>
        <v>Temp. (2m)</v>
      </c>
      <c r="I61" s="158" t="str">
        <f t="shared" si="6"/>
        <v>Temp. (2m)</v>
      </c>
      <c r="J61" s="158" t="str">
        <f t="shared" si="6"/>
        <v>Temp. (2m)</v>
      </c>
      <c r="K61" s="158" t="str">
        <f t="shared" si="6"/>
        <v>Temp. (2m)</v>
      </c>
      <c r="L61" s="158" t="str">
        <f t="shared" si="6"/>
        <v>Temp. (2m)</v>
      </c>
      <c r="M61" s="158" t="str">
        <f t="shared" si="6"/>
        <v>Temp. (2m)</v>
      </c>
      <c r="N61" s="158" t="str">
        <f t="shared" si="6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7">
        <f>F29</f>
        <v>4</v>
      </c>
    </row>
    <row r="64" spans="2:28" ht="15" customHeight="1">
      <c r="E64" s="178">
        <f>IF(E65&gt;$F$63,0,1)</f>
        <v>1</v>
      </c>
      <c r="F64" s="178">
        <f t="shared" ref="F64:N64" si="7">IF(F65&gt;$F$63,0,1)</f>
        <v>1</v>
      </c>
      <c r="G64" s="178">
        <f t="shared" si="7"/>
        <v>1</v>
      </c>
      <c r="H64" s="178">
        <f t="shared" si="7"/>
        <v>1</v>
      </c>
      <c r="I64" s="178">
        <f t="shared" si="7"/>
        <v>0</v>
      </c>
      <c r="J64" s="178">
        <f t="shared" si="7"/>
        <v>0</v>
      </c>
      <c r="K64" s="178">
        <f t="shared" si="7"/>
        <v>0</v>
      </c>
      <c r="L64" s="178">
        <f t="shared" si="7"/>
        <v>0</v>
      </c>
      <c r="M64" s="178">
        <f t="shared" si="7"/>
        <v>0</v>
      </c>
      <c r="N64" s="178">
        <f t="shared" si="7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526</v>
      </c>
      <c r="D66" s="186" t="s">
        <v>255</v>
      </c>
      <c r="E66" s="289">
        <f>1-SUMPRODUCT(F64:N64,F66:N66)</f>
        <v>0.5333</v>
      </c>
      <c r="F66" s="289">
        <f>ROUND(F67/$D$67,4)</f>
        <v>0.26669999999999999</v>
      </c>
      <c r="G66" s="289">
        <f t="shared" ref="G66:N66" si="8">ROUND(G67/$D$67,4)</f>
        <v>0.1333</v>
      </c>
      <c r="H66" s="289">
        <f t="shared" si="8"/>
        <v>6.6699999999999995E-2</v>
      </c>
      <c r="I66" s="287">
        <f t="shared" si="8"/>
        <v>0</v>
      </c>
      <c r="J66" s="287">
        <f t="shared" si="8"/>
        <v>0</v>
      </c>
      <c r="K66" s="287">
        <f t="shared" si="8"/>
        <v>0</v>
      </c>
      <c r="L66" s="287">
        <f t="shared" si="8"/>
        <v>0</v>
      </c>
      <c r="M66" s="287">
        <f t="shared" si="8"/>
        <v>0</v>
      </c>
      <c r="N66" s="287">
        <f t="shared" si="8"/>
        <v>0</v>
      </c>
      <c r="O66" s="185"/>
    </row>
    <row r="67" spans="2:15">
      <c r="B67" s="183"/>
      <c r="C67" s="184" t="s">
        <v>533</v>
      </c>
      <c r="D67" s="186">
        <f>SUMPRODUCT(E67:N67,E64:N64)</f>
        <v>1.875</v>
      </c>
      <c r="E67" s="358">
        <f>E33</f>
        <v>1</v>
      </c>
      <c r="F67" s="358">
        <f t="shared" ref="F67:N71" si="9">F33</f>
        <v>0.5</v>
      </c>
      <c r="G67" s="358">
        <f t="shared" si="9"/>
        <v>0.25</v>
      </c>
      <c r="H67" s="358">
        <f t="shared" si="9"/>
        <v>0.125</v>
      </c>
      <c r="I67" s="295">
        <f t="shared" si="9"/>
        <v>0</v>
      </c>
      <c r="J67" s="295">
        <f t="shared" si="9"/>
        <v>0</v>
      </c>
      <c r="K67" s="295">
        <f t="shared" si="9"/>
        <v>0</v>
      </c>
      <c r="L67" s="295">
        <f t="shared" si="9"/>
        <v>0</v>
      </c>
      <c r="M67" s="295">
        <f t="shared" si="9"/>
        <v>0</v>
      </c>
      <c r="N67" s="295">
        <f t="shared" si="9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357" t="str">
        <f>E34</f>
        <v>D</v>
      </c>
      <c r="F68" s="357" t="str">
        <f t="shared" si="9"/>
        <v>D-1</v>
      </c>
      <c r="G68" s="357" t="str">
        <f t="shared" si="9"/>
        <v>D-2</v>
      </c>
      <c r="H68" s="357" t="str">
        <f t="shared" si="9"/>
        <v>D-3</v>
      </c>
      <c r="I68" s="156">
        <f t="shared" si="9"/>
        <v>0</v>
      </c>
      <c r="J68" s="156">
        <f t="shared" si="9"/>
        <v>0</v>
      </c>
      <c r="K68" s="156">
        <f t="shared" si="9"/>
        <v>0</v>
      </c>
      <c r="L68" s="156">
        <f t="shared" si="9"/>
        <v>0</v>
      </c>
      <c r="M68" s="156">
        <f t="shared" si="9"/>
        <v>0</v>
      </c>
      <c r="N68" s="156">
        <f t="shared" si="9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359" t="str">
        <f>E35</f>
        <v>Kalendertag</v>
      </c>
      <c r="F69" s="359" t="str">
        <f t="shared" si="9"/>
        <v>Kalendertag</v>
      </c>
      <c r="G69" s="359" t="str">
        <f t="shared" si="9"/>
        <v>Kalendertag</v>
      </c>
      <c r="H69" s="359" t="str">
        <f t="shared" si="9"/>
        <v>Kalendertag</v>
      </c>
      <c r="I69" s="162">
        <f t="shared" si="9"/>
        <v>0</v>
      </c>
      <c r="J69" s="162">
        <f t="shared" si="9"/>
        <v>0</v>
      </c>
      <c r="K69" s="162">
        <f t="shared" si="9"/>
        <v>0</v>
      </c>
      <c r="L69" s="162">
        <f t="shared" si="9"/>
        <v>0</v>
      </c>
      <c r="M69" s="162">
        <f t="shared" si="9"/>
        <v>0</v>
      </c>
      <c r="N69" s="162">
        <f t="shared" si="9"/>
        <v>0</v>
      </c>
      <c r="O69" s="185" t="s">
        <v>142</v>
      </c>
    </row>
    <row r="70" spans="2:15">
      <c r="B70" s="183"/>
      <c r="C70" s="187" t="s">
        <v>605</v>
      </c>
      <c r="D70" s="153" t="s">
        <v>606</v>
      </c>
      <c r="E70" s="359" t="str">
        <f>E36</f>
        <v>CET/CEST</v>
      </c>
      <c r="F70" s="359" t="str">
        <f t="shared" si="9"/>
        <v>CET/CEST</v>
      </c>
      <c r="G70" s="359" t="str">
        <f t="shared" si="9"/>
        <v>CET/CEST</v>
      </c>
      <c r="H70" s="359" t="str">
        <f t="shared" si="9"/>
        <v>CET/CEST</v>
      </c>
      <c r="I70" s="162" t="str">
        <f t="shared" si="9"/>
        <v>CET/CEST</v>
      </c>
      <c r="J70" s="162" t="str">
        <f t="shared" si="9"/>
        <v>CET/CEST</v>
      </c>
      <c r="K70" s="162" t="str">
        <f t="shared" si="9"/>
        <v>CET/CEST</v>
      </c>
      <c r="L70" s="162" t="str">
        <f t="shared" si="9"/>
        <v>CET/CEST</v>
      </c>
      <c r="M70" s="162" t="str">
        <f t="shared" si="9"/>
        <v>CET/CEST</v>
      </c>
      <c r="N70" s="162" t="str">
        <f t="shared" si="9"/>
        <v>CET/CEST</v>
      </c>
      <c r="O70" s="185" t="s">
        <v>142</v>
      </c>
    </row>
    <row r="71" spans="2:15">
      <c r="B71" s="183"/>
      <c r="C71" s="192" t="s">
        <v>440</v>
      </c>
      <c r="D71" s="119" t="s">
        <v>538</v>
      </c>
      <c r="E71" s="360" t="s">
        <v>450</v>
      </c>
      <c r="F71" s="360" t="s">
        <v>450</v>
      </c>
      <c r="G71" s="360" t="str">
        <f t="shared" si="9"/>
        <v>Temp.-IST</v>
      </c>
      <c r="H71" s="360" t="str">
        <f t="shared" si="9"/>
        <v>Temp.-IST</v>
      </c>
      <c r="I71" s="163">
        <f t="shared" si="9"/>
        <v>0</v>
      </c>
      <c r="J71" s="163">
        <f t="shared" si="9"/>
        <v>0</v>
      </c>
      <c r="K71" s="163">
        <f t="shared" si="9"/>
        <v>0</v>
      </c>
      <c r="L71" s="163">
        <f t="shared" si="9"/>
        <v>0</v>
      </c>
      <c r="M71" s="163">
        <f t="shared" si="9"/>
        <v>0</v>
      </c>
      <c r="N71" s="163">
        <f t="shared" si="9"/>
        <v>0</v>
      </c>
      <c r="O71" s="185" t="s">
        <v>142</v>
      </c>
    </row>
    <row r="72" spans="2:15"/>
    <row r="73" spans="2:15" ht="15.75" customHeight="1">
      <c r="C73" s="367" t="s">
        <v>580</v>
      </c>
      <c r="D73" s="367"/>
      <c r="E73" s="367"/>
      <c r="F73" s="367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F22:N25">
    <cfRule type="expression" dxfId="50" priority="20">
      <formula>IF(F$20&lt;=$F$18,1,0)</formula>
    </cfRule>
  </conditionalFormatting>
  <conditionalFormatting sqref="E33:N37">
    <cfRule type="expression" dxfId="49" priority="19">
      <formula>IF(E$31&lt;=$F$29,1,0)</formula>
    </cfRule>
  </conditionalFormatting>
  <conditionalFormatting sqref="E26:N26">
    <cfRule type="expression" dxfId="48" priority="18">
      <formula>IF(E$20&lt;=$F$18,1,0)</formula>
    </cfRule>
  </conditionalFormatting>
  <conditionalFormatting sqref="E26:N26">
    <cfRule type="expression" dxfId="47" priority="17">
      <formula>IF(E$20&lt;=$F$18,1,0)</formula>
    </cfRule>
  </conditionalFormatting>
  <conditionalFormatting sqref="E57:N60">
    <cfRule type="expression" dxfId="46" priority="16">
      <formula>IF(E$55&lt;=$F$53,1,0)</formula>
    </cfRule>
  </conditionalFormatting>
  <conditionalFormatting sqref="E61:N61">
    <cfRule type="expression" dxfId="45" priority="15">
      <formula>IF(E$55&lt;=$F$53,1,0)</formula>
    </cfRule>
  </conditionalFormatting>
  <conditionalFormatting sqref="E67:N69">
    <cfRule type="expression" dxfId="44" priority="14">
      <formula>IF(E$65&lt;=$F$63,1,0)</formula>
    </cfRule>
  </conditionalFormatting>
  <conditionalFormatting sqref="E66:N69 E71:N71">
    <cfRule type="expression" dxfId="43" priority="13">
      <formula>IF(E$65&gt;$F$63,1,0)</formula>
    </cfRule>
  </conditionalFormatting>
  <conditionalFormatting sqref="E57:N61">
    <cfRule type="expression" dxfId="42" priority="12">
      <formula>IF(E$55&gt;$F$53,1,0)</formula>
    </cfRule>
  </conditionalFormatting>
  <conditionalFormatting sqref="E21:N21 E26:N26 F22:N25">
    <cfRule type="expression" dxfId="41" priority="11">
      <formula>IF(E$20&gt;$F$18,1,0)</formula>
    </cfRule>
  </conditionalFormatting>
  <conditionalFormatting sqref="E33:N37">
    <cfRule type="expression" dxfId="40" priority="10">
      <formula>IF(E$31&gt;$F$29,1,0)</formula>
    </cfRule>
  </conditionalFormatting>
  <conditionalFormatting sqref="H11 H8:H9">
    <cfRule type="expression" dxfId="39" priority="9">
      <formula>IF($F$9=1,1,0)</formula>
    </cfRule>
  </conditionalFormatting>
  <conditionalFormatting sqref="E56:N56">
    <cfRule type="expression" dxfId="38" priority="8">
      <formula>IF(E$55&gt;$F$53,1,0)</formula>
    </cfRule>
  </conditionalFormatting>
  <conditionalFormatting sqref="E32:N32">
    <cfRule type="expression" dxfId="37" priority="7">
      <formula>IF(E$31&gt;$F$29,1,0)</formula>
    </cfRule>
  </conditionalFormatting>
  <conditionalFormatting sqref="E71:N71">
    <cfRule type="expression" dxfId="36" priority="6">
      <formula>IF(E$65&lt;=$F$63,1,0)</formula>
    </cfRule>
  </conditionalFormatting>
  <conditionalFormatting sqref="H10">
    <cfRule type="expression" dxfId="35" priority="5">
      <formula>IF($F$9=1,1,0)</formula>
    </cfRule>
  </conditionalFormatting>
  <conditionalFormatting sqref="E70:N70">
    <cfRule type="expression" dxfId="34" priority="4">
      <formula>IF(E$65&lt;=$F$63,1,0)</formula>
    </cfRule>
  </conditionalFormatting>
  <conditionalFormatting sqref="E70:N70">
    <cfRule type="expression" dxfId="33" priority="3">
      <formula>IF(E$65&gt;$F$63,1,0)</formula>
    </cfRule>
  </conditionalFormatting>
  <conditionalFormatting sqref="E22:E25">
    <cfRule type="expression" dxfId="32" priority="2">
      <formula>IF(E$20&lt;=$F$18,1,0)</formula>
    </cfRule>
  </conditionalFormatting>
  <conditionalFormatting sqref="E22:E25">
    <cfRule type="expression" dxfId="31" priority="1">
      <formula>IF(E$20&gt;$F$18,1,0)</formula>
    </cfRule>
  </conditionalFormatting>
  <dataValidations count="14">
    <dataValidation type="list" allowBlank="1" showInputMessage="1" showErrorMessage="1" sqref="E61:N61">
      <formula1>$R$27:$S$27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E58:N58 E23:N23">
      <formula1>$R$23:$T$23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7:N37 E71:N71">
      <formula1>$R$37:$S$37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V79"/>
  <sheetViews>
    <sheetView showGridLines="0" zoomScaleNormal="100" workbookViewId="0">
      <selection activeCell="E60" sqref="E60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tr">
        <f>'SLP-Verfahren'!D5</f>
        <v>Oberhessengas Netz GmbH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Wetteraukreis, Vogelsbergkreis, LG Gießen Teil, Limeshain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44562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3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3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 t="str">
        <f>INDEX('SLP-Verfahren'!D45:D59,'SLP-Temp-Gebiet Neu-Ulrichstein'!F10)</f>
        <v>Neu-Ulrichstein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65" t="s">
        <v>584</v>
      </c>
      <c r="D13" s="365"/>
      <c r="E13" s="365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66" t="s">
        <v>445</v>
      </c>
      <c r="D14" s="366"/>
      <c r="E14" s="89" t="s">
        <v>446</v>
      </c>
      <c r="F14" s="266"/>
      <c r="G14" s="267"/>
      <c r="H14" s="50"/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66" t="s">
        <v>385</v>
      </c>
      <c r="D15" s="366"/>
      <c r="E15" s="89" t="s">
        <v>446</v>
      </c>
      <c r="F15" s="266"/>
      <c r="G15" s="267"/>
      <c r="H15" s="50"/>
      <c r="I15" s="56"/>
      <c r="J15" s="130"/>
      <c r="K15" s="130"/>
      <c r="L15" s="130"/>
      <c r="M15" s="130"/>
      <c r="N15" s="130"/>
      <c r="O15" s="355" t="s">
        <v>669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47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517</v>
      </c>
      <c r="C17" s="177"/>
      <c r="D17" s="34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523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537</v>
      </c>
      <c r="D22" s="186">
        <f>SUMPRODUCT(E22:N22,E19:N19)</f>
        <v>1</v>
      </c>
      <c r="E22" s="289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344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520</v>
      </c>
      <c r="D24" s="188"/>
      <c r="E24" s="344" t="s">
        <v>681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356">
        <v>10537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357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655</v>
      </c>
      <c r="T26" s="209" t="s">
        <v>656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Neu-Ulrichstein'!E25,"B"),IF('SLP-Temp-Gebiet Neu-Ulrichstein'!E26="Allgemeine GPT",CONCATENATE(Netzbetreiber!$D$11,'SLP-Temp-Gebiet Neu-Ulrichstein'!E25,"A"),""))</f>
        <v/>
      </c>
      <c r="F27" s="350" t="str">
        <f>IF(F26="Individuelle GPT",CONCATENATE(Netzbetreiber!$D$11,'SLP-Temp-Gebiet Neu-Ulrichstein'!F25,"B"),IF('SLP-Temp-Gebiet Neu-Ulrichstein'!F26="Allgemeine GPT",CONCATENATE(Netzbetreiber!$D$11,'SLP-Temp-Gebiet Neu-Ulrichstein'!F25,"A"),""))</f>
        <v/>
      </c>
      <c r="G27" s="350" t="str">
        <f>IF(G26="Individuelle GPT",CONCATENATE(Netzbetreiber!$D$11,'SLP-Temp-Gebiet Neu-Ulrichstein'!G25,"B"),IF('SLP-Temp-Gebiet Neu-Ulrichstein'!G26="Allgemeine GPT",CONCATENATE(Netzbetreiber!$D$11,'SLP-Temp-Gebiet Neu-Ulrichstein'!G25,"A"),""))</f>
        <v/>
      </c>
      <c r="H27" s="350" t="str">
        <f>IF(H26="Individuelle GPT",CONCATENATE(Netzbetreiber!$D$11,'SLP-Temp-Gebiet Neu-Ulrichstein'!H25,"B"),IF('SLP-Temp-Gebiet Neu-Ulrichstein'!H26="Allgemeine GPT",CONCATENATE(Netzbetreiber!$D$11,'SLP-Temp-Gebiet Neu-Ulrichstein'!H25,"A"),""))</f>
        <v/>
      </c>
      <c r="I27" s="350" t="str">
        <f>IF(I26="Individuelle GPT",CONCATENATE(Netzbetreiber!$D$11,'SLP-Temp-Gebiet Neu-Ulrichstein'!I25,"B"),IF('SLP-Temp-Gebiet Neu-Ulrichstein'!I26="Allgemeine GPT",CONCATENATE(Netzbetreiber!$D$11,'SLP-Temp-Gebiet Neu-Ulrichstein'!I25,"A"),""))</f>
        <v/>
      </c>
      <c r="J27" s="350" t="str">
        <f>IF(J26="Individuelle GPT",CONCATENATE(Netzbetreiber!$D$11,'SLP-Temp-Gebiet Neu-Ulrichstein'!J25,"B"),IF('SLP-Temp-Gebiet Neu-Ulrichstein'!J26="Allgemeine GPT",CONCATENATE(Netzbetreiber!$D$11,'SLP-Temp-Gebiet Neu-Ulrichstein'!J25,"A"),""))</f>
        <v/>
      </c>
      <c r="K27" s="350" t="str">
        <f>IF(K26="Individuelle GPT",CONCATENATE(Netzbetreiber!$D$11,'SLP-Temp-Gebiet Neu-Ulrichstein'!K25,"B"),IF('SLP-Temp-Gebiet Neu-Ulrichstein'!K26="Allgemeine GPT",CONCATENATE(Netzbetreiber!$D$11,'SLP-Temp-Gebiet Neu-Ulrichstein'!K25,"A"),""))</f>
        <v/>
      </c>
      <c r="L27" s="350" t="str">
        <f>IF(L26="Individuelle GPT",CONCATENATE(Netzbetreiber!$D$11,'SLP-Temp-Gebiet Neu-Ulrichstein'!L25,"B"),IF('SLP-Temp-Gebiet Neu-Ulrichstein'!L26="Allgemeine GPT",CONCATENATE(Netzbetreiber!$D$11,'SLP-Temp-Gebiet Neu-Ulrichstein'!L25,"A"),""))</f>
        <v/>
      </c>
      <c r="M27" s="350" t="str">
        <f>IF(M26="Individuelle GPT",CONCATENATE(Netzbetreiber!$D$11,'SLP-Temp-Gebiet Neu-Ulrichstein'!M25,"B"),IF('SLP-Temp-Gebiet Neu-Ulrichstein'!M26="Allgemeine GPT",CONCATENATE(Netzbetreiber!$D$11,'SLP-Temp-Gebiet Neu-Ulrichstein'!M25,"A"),""))</f>
        <v/>
      </c>
      <c r="N27" s="350" t="str">
        <f>IF(N26="Individuelle GPT",CONCATENATE(Netzbetreiber!$D$11,'SLP-Temp-Gebiet Neu-Ulrichstein'!N25,"B"),IF('SLP-Temp-Gebiet Neu-Ulrichstein'!N26="Allgemeine GPT",CONCATENATE(Netzbetreiber!$D$11,'SLP-Temp-Gebiet Neu-Ulrichstein'!N25,"A"),""))</f>
        <v/>
      </c>
      <c r="O27" s="351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526</v>
      </c>
      <c r="D32" s="186" t="s">
        <v>255</v>
      </c>
      <c r="E32" s="289">
        <f>1-SUMPRODUCT(F30:N30,F32:N32)</f>
        <v>0.5333</v>
      </c>
      <c r="F32" s="289">
        <f>ROUND(F33/$D$33,4)</f>
        <v>0.26669999999999999</v>
      </c>
      <c r="G32" s="289">
        <f t="shared" ref="G32:N32" si="3">ROUND(G33/$D$33,4)</f>
        <v>0.1333</v>
      </c>
      <c r="H32" s="289">
        <f t="shared" si="3"/>
        <v>6.6699999999999995E-2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533</v>
      </c>
      <c r="D33" s="293">
        <f>SUMPRODUCT(E33:N33,E30:N30)</f>
        <v>1.875</v>
      </c>
      <c r="E33" s="291">
        <v>1</v>
      </c>
      <c r="F33" s="291">
        <v>0.5</v>
      </c>
      <c r="G33" s="291">
        <v>0.25</v>
      </c>
      <c r="H33" s="291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357" t="s">
        <v>3</v>
      </c>
      <c r="F34" s="357" t="s">
        <v>357</v>
      </c>
      <c r="G34" s="357" t="s">
        <v>348</v>
      </c>
      <c r="H34" s="357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357" t="s">
        <v>512</v>
      </c>
      <c r="F35" s="357" t="s">
        <v>512</v>
      </c>
      <c r="G35" s="357" t="s">
        <v>512</v>
      </c>
      <c r="H35" s="357" t="s">
        <v>512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605</v>
      </c>
      <c r="D36" s="153" t="s">
        <v>606</v>
      </c>
      <c r="E36" s="357" t="s">
        <v>604</v>
      </c>
      <c r="F36" s="357" t="s">
        <v>604</v>
      </c>
      <c r="G36" s="357" t="s">
        <v>604</v>
      </c>
      <c r="H36" s="357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5" t="s">
        <v>142</v>
      </c>
      <c r="Q36" s="211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538</v>
      </c>
      <c r="E37" s="363" t="s">
        <v>449</v>
      </c>
      <c r="F37" s="363" t="s">
        <v>449</v>
      </c>
      <c r="G37" s="363" t="s">
        <v>450</v>
      </c>
      <c r="H37" s="363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532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530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535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536</v>
      </c>
      <c r="D47" s="201" t="s">
        <v>534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534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579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518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525</v>
      </c>
      <c r="D56" s="153" t="s">
        <v>515</v>
      </c>
      <c r="E56" s="289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537</v>
      </c>
      <c r="D57" s="186">
        <f>SUMPRODUCT(E57:N57,E54:N54)</f>
        <v>1</v>
      </c>
      <c r="E57" s="291">
        <f>E22</f>
        <v>1</v>
      </c>
      <c r="F57" s="288">
        <f t="shared" ref="F57:N61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357" t="str">
        <f>E23</f>
        <v>DWD</v>
      </c>
      <c r="F58" s="156" t="str">
        <f t="shared" si="6"/>
        <v>DWD</v>
      </c>
      <c r="G58" s="156" t="str">
        <f t="shared" si="6"/>
        <v>DWD</v>
      </c>
      <c r="H58" s="156" t="str">
        <f t="shared" si="6"/>
        <v>DWD</v>
      </c>
      <c r="I58" s="156" t="str">
        <f t="shared" si="6"/>
        <v>DWD</v>
      </c>
      <c r="J58" s="156" t="str">
        <f t="shared" si="6"/>
        <v>DWD</v>
      </c>
      <c r="K58" s="156" t="str">
        <f t="shared" si="6"/>
        <v>DWD</v>
      </c>
      <c r="L58" s="156" t="str">
        <f t="shared" si="6"/>
        <v>DWD</v>
      </c>
      <c r="M58" s="156" t="str">
        <f t="shared" si="6"/>
        <v>DWD</v>
      </c>
      <c r="N58" s="156" t="str">
        <f t="shared" si="6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357" t="str">
        <f>E24</f>
        <v>Neu-Ulrichstein</v>
      </c>
      <c r="F59" s="156" t="str">
        <f t="shared" si="6"/>
        <v>DEF-St.</v>
      </c>
      <c r="G59" s="156">
        <f t="shared" si="6"/>
        <v>0</v>
      </c>
      <c r="H59" s="156">
        <f t="shared" si="6"/>
        <v>0</v>
      </c>
      <c r="I59" s="156">
        <f t="shared" si="6"/>
        <v>0</v>
      </c>
      <c r="J59" s="156">
        <f t="shared" si="6"/>
        <v>0</v>
      </c>
      <c r="K59" s="156">
        <f t="shared" si="6"/>
        <v>0</v>
      </c>
      <c r="L59" s="156">
        <f t="shared" si="6"/>
        <v>0</v>
      </c>
      <c r="M59" s="156">
        <f t="shared" si="6"/>
        <v>0</v>
      </c>
      <c r="N59" s="156">
        <f t="shared" si="6"/>
        <v>0</v>
      </c>
      <c r="O59" s="185" t="s">
        <v>521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361">
        <f>E25</f>
        <v>10537</v>
      </c>
      <c r="F60" s="160" t="str">
        <f t="shared" si="6"/>
        <v>xxxxx</v>
      </c>
      <c r="G60" s="160">
        <f t="shared" si="6"/>
        <v>0</v>
      </c>
      <c r="H60" s="160">
        <f t="shared" si="6"/>
        <v>0</v>
      </c>
      <c r="I60" s="160">
        <f t="shared" si="6"/>
        <v>0</v>
      </c>
      <c r="J60" s="160">
        <f t="shared" si="6"/>
        <v>0</v>
      </c>
      <c r="K60" s="160">
        <f t="shared" si="6"/>
        <v>0</v>
      </c>
      <c r="L60" s="160">
        <f t="shared" si="6"/>
        <v>0</v>
      </c>
      <c r="M60" s="160">
        <f t="shared" si="6"/>
        <v>0</v>
      </c>
      <c r="N60" s="160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362" t="str">
        <f>E26</f>
        <v>Temp. (2m)</v>
      </c>
      <c r="F61" s="158" t="str">
        <f t="shared" si="6"/>
        <v>Temp. (2m)</v>
      </c>
      <c r="G61" s="158" t="str">
        <f t="shared" si="6"/>
        <v>Temp. (2m)</v>
      </c>
      <c r="H61" s="158" t="str">
        <f t="shared" si="6"/>
        <v>Temp. (2m)</v>
      </c>
      <c r="I61" s="158" t="str">
        <f t="shared" si="6"/>
        <v>Temp. (2m)</v>
      </c>
      <c r="J61" s="158" t="str">
        <f t="shared" si="6"/>
        <v>Temp. (2m)</v>
      </c>
      <c r="K61" s="158" t="str">
        <f t="shared" si="6"/>
        <v>Temp. (2m)</v>
      </c>
      <c r="L61" s="158" t="str">
        <f t="shared" si="6"/>
        <v>Temp. (2m)</v>
      </c>
      <c r="M61" s="158" t="str">
        <f t="shared" si="6"/>
        <v>Temp. (2m)</v>
      </c>
      <c r="N61" s="158" t="str">
        <f t="shared" si="6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7">
        <f>F29</f>
        <v>4</v>
      </c>
    </row>
    <row r="64" spans="2:28" ht="15" customHeight="1">
      <c r="E64" s="178">
        <f>IF(E65&gt;$F$63,0,1)</f>
        <v>1</v>
      </c>
      <c r="F64" s="178">
        <f t="shared" ref="F64:N64" si="7">IF(F65&gt;$F$63,0,1)</f>
        <v>1</v>
      </c>
      <c r="G64" s="178">
        <f t="shared" si="7"/>
        <v>1</v>
      </c>
      <c r="H64" s="178">
        <f t="shared" si="7"/>
        <v>1</v>
      </c>
      <c r="I64" s="178">
        <f t="shared" si="7"/>
        <v>0</v>
      </c>
      <c r="J64" s="178">
        <f t="shared" si="7"/>
        <v>0</v>
      </c>
      <c r="K64" s="178">
        <f t="shared" si="7"/>
        <v>0</v>
      </c>
      <c r="L64" s="178">
        <f t="shared" si="7"/>
        <v>0</v>
      </c>
      <c r="M64" s="178">
        <f t="shared" si="7"/>
        <v>0</v>
      </c>
      <c r="N64" s="178">
        <f t="shared" si="7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526</v>
      </c>
      <c r="D66" s="186" t="s">
        <v>255</v>
      </c>
      <c r="E66" s="289">
        <f>1-SUMPRODUCT(F64:N64,F66:N66)</f>
        <v>0.5333</v>
      </c>
      <c r="F66" s="289">
        <f>ROUND(F67/$D$67,4)</f>
        <v>0.26669999999999999</v>
      </c>
      <c r="G66" s="289">
        <f t="shared" ref="G66:N66" si="8">ROUND(G67/$D$67,4)</f>
        <v>0.1333</v>
      </c>
      <c r="H66" s="289">
        <f t="shared" si="8"/>
        <v>6.6699999999999995E-2</v>
      </c>
      <c r="I66" s="287">
        <f t="shared" si="8"/>
        <v>0</v>
      </c>
      <c r="J66" s="287">
        <f t="shared" si="8"/>
        <v>0</v>
      </c>
      <c r="K66" s="287">
        <f t="shared" si="8"/>
        <v>0</v>
      </c>
      <c r="L66" s="287">
        <f t="shared" si="8"/>
        <v>0</v>
      </c>
      <c r="M66" s="287">
        <f t="shared" si="8"/>
        <v>0</v>
      </c>
      <c r="N66" s="287">
        <f t="shared" si="8"/>
        <v>0</v>
      </c>
      <c r="O66" s="185"/>
    </row>
    <row r="67" spans="2:15">
      <c r="B67" s="183"/>
      <c r="C67" s="184" t="s">
        <v>533</v>
      </c>
      <c r="D67" s="186">
        <f>SUMPRODUCT(E67:N67,E64:N64)</f>
        <v>1.875</v>
      </c>
      <c r="E67" s="358">
        <f>E33</f>
        <v>1</v>
      </c>
      <c r="F67" s="358">
        <f t="shared" ref="F67:N71" si="9">F33</f>
        <v>0.5</v>
      </c>
      <c r="G67" s="358">
        <f t="shared" si="9"/>
        <v>0.25</v>
      </c>
      <c r="H67" s="358">
        <f t="shared" si="9"/>
        <v>0.125</v>
      </c>
      <c r="I67" s="295">
        <f t="shared" si="9"/>
        <v>0</v>
      </c>
      <c r="J67" s="295">
        <f t="shared" si="9"/>
        <v>0</v>
      </c>
      <c r="K67" s="295">
        <f t="shared" si="9"/>
        <v>0</v>
      </c>
      <c r="L67" s="295">
        <f t="shared" si="9"/>
        <v>0</v>
      </c>
      <c r="M67" s="295">
        <f t="shared" si="9"/>
        <v>0</v>
      </c>
      <c r="N67" s="295">
        <f t="shared" si="9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357" t="str">
        <f>E34</f>
        <v>D</v>
      </c>
      <c r="F68" s="357" t="str">
        <f t="shared" si="9"/>
        <v>D-1</v>
      </c>
      <c r="G68" s="357" t="str">
        <f t="shared" si="9"/>
        <v>D-2</v>
      </c>
      <c r="H68" s="357" t="str">
        <f t="shared" si="9"/>
        <v>D-3</v>
      </c>
      <c r="I68" s="156">
        <f t="shared" si="9"/>
        <v>0</v>
      </c>
      <c r="J68" s="156">
        <f t="shared" si="9"/>
        <v>0</v>
      </c>
      <c r="K68" s="156">
        <f t="shared" si="9"/>
        <v>0</v>
      </c>
      <c r="L68" s="156">
        <f t="shared" si="9"/>
        <v>0</v>
      </c>
      <c r="M68" s="156">
        <f t="shared" si="9"/>
        <v>0</v>
      </c>
      <c r="N68" s="156">
        <f t="shared" si="9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359" t="str">
        <f>E35</f>
        <v>Kalendertag</v>
      </c>
      <c r="F69" s="359" t="str">
        <f t="shared" si="9"/>
        <v>Kalendertag</v>
      </c>
      <c r="G69" s="359" t="str">
        <f t="shared" si="9"/>
        <v>Kalendertag</v>
      </c>
      <c r="H69" s="359" t="str">
        <f t="shared" si="9"/>
        <v>Kalendertag</v>
      </c>
      <c r="I69" s="162">
        <f t="shared" si="9"/>
        <v>0</v>
      </c>
      <c r="J69" s="162">
        <f t="shared" si="9"/>
        <v>0</v>
      </c>
      <c r="K69" s="162">
        <f t="shared" si="9"/>
        <v>0</v>
      </c>
      <c r="L69" s="162">
        <f t="shared" si="9"/>
        <v>0</v>
      </c>
      <c r="M69" s="162">
        <f t="shared" si="9"/>
        <v>0</v>
      </c>
      <c r="N69" s="162">
        <f t="shared" si="9"/>
        <v>0</v>
      </c>
      <c r="O69" s="185" t="s">
        <v>142</v>
      </c>
    </row>
    <row r="70" spans="2:15">
      <c r="B70" s="183"/>
      <c r="C70" s="187" t="s">
        <v>605</v>
      </c>
      <c r="D70" s="153" t="s">
        <v>606</v>
      </c>
      <c r="E70" s="359" t="str">
        <f>E36</f>
        <v>CET/CEST</v>
      </c>
      <c r="F70" s="359" t="str">
        <f t="shared" si="9"/>
        <v>CET/CEST</v>
      </c>
      <c r="G70" s="359" t="str">
        <f t="shared" si="9"/>
        <v>CET/CEST</v>
      </c>
      <c r="H70" s="359" t="str">
        <f t="shared" si="9"/>
        <v>CET/CEST</v>
      </c>
      <c r="I70" s="162" t="str">
        <f t="shared" si="9"/>
        <v>CET/CEST</v>
      </c>
      <c r="J70" s="162" t="str">
        <f t="shared" si="9"/>
        <v>CET/CEST</v>
      </c>
      <c r="K70" s="162" t="str">
        <f t="shared" si="9"/>
        <v>CET/CEST</v>
      </c>
      <c r="L70" s="162" t="str">
        <f t="shared" si="9"/>
        <v>CET/CEST</v>
      </c>
      <c r="M70" s="162" t="str">
        <f t="shared" si="9"/>
        <v>CET/CEST</v>
      </c>
      <c r="N70" s="162" t="str">
        <f t="shared" si="9"/>
        <v>CET/CEST</v>
      </c>
      <c r="O70" s="185" t="s">
        <v>142</v>
      </c>
    </row>
    <row r="71" spans="2:15">
      <c r="B71" s="183"/>
      <c r="C71" s="192" t="s">
        <v>440</v>
      </c>
      <c r="D71" s="119" t="s">
        <v>538</v>
      </c>
      <c r="E71" s="360" t="s">
        <v>450</v>
      </c>
      <c r="F71" s="360" t="s">
        <v>450</v>
      </c>
      <c r="G71" s="360" t="str">
        <f t="shared" si="9"/>
        <v>Temp.-IST</v>
      </c>
      <c r="H71" s="360" t="str">
        <f t="shared" si="9"/>
        <v>Temp.-IST</v>
      </c>
      <c r="I71" s="163">
        <f t="shared" si="9"/>
        <v>0</v>
      </c>
      <c r="J71" s="163">
        <f t="shared" si="9"/>
        <v>0</v>
      </c>
      <c r="K71" s="163">
        <f t="shared" si="9"/>
        <v>0</v>
      </c>
      <c r="L71" s="163">
        <f t="shared" si="9"/>
        <v>0</v>
      </c>
      <c r="M71" s="163">
        <f t="shared" si="9"/>
        <v>0</v>
      </c>
      <c r="N71" s="163">
        <f t="shared" si="9"/>
        <v>0</v>
      </c>
      <c r="O71" s="185" t="s">
        <v>142</v>
      </c>
    </row>
    <row r="72" spans="2:15"/>
    <row r="73" spans="2:15" ht="15.75" customHeight="1">
      <c r="C73" s="367" t="s">
        <v>580</v>
      </c>
      <c r="D73" s="367"/>
      <c r="E73" s="367"/>
      <c r="F73" s="367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F22:N25">
    <cfRule type="expression" dxfId="30" priority="20">
      <formula>IF(F$20&lt;=$F$18,1,0)</formula>
    </cfRule>
  </conditionalFormatting>
  <conditionalFormatting sqref="E33:N37">
    <cfRule type="expression" dxfId="29" priority="19">
      <formula>IF(E$31&lt;=$F$29,1,0)</formula>
    </cfRule>
  </conditionalFormatting>
  <conditionalFormatting sqref="E26:N26">
    <cfRule type="expression" dxfId="28" priority="18">
      <formula>IF(E$20&lt;=$F$18,1,0)</formula>
    </cfRule>
  </conditionalFormatting>
  <conditionalFormatting sqref="E26:N26">
    <cfRule type="expression" dxfId="27" priority="17">
      <formula>IF(E$20&lt;=$F$18,1,0)</formula>
    </cfRule>
  </conditionalFormatting>
  <conditionalFormatting sqref="E57:N60">
    <cfRule type="expression" dxfId="26" priority="16">
      <formula>IF(E$55&lt;=$F$53,1,0)</formula>
    </cfRule>
  </conditionalFormatting>
  <conditionalFormatting sqref="E61:N61">
    <cfRule type="expression" dxfId="25" priority="15">
      <formula>IF(E$55&lt;=$F$53,1,0)</formula>
    </cfRule>
  </conditionalFormatting>
  <conditionalFormatting sqref="E67:N69">
    <cfRule type="expression" dxfId="24" priority="14">
      <formula>IF(E$65&lt;=$F$63,1,0)</formula>
    </cfRule>
  </conditionalFormatting>
  <conditionalFormatting sqref="E66:N69 E71:N71">
    <cfRule type="expression" dxfId="23" priority="13">
      <formula>IF(E$65&gt;$F$63,1,0)</formula>
    </cfRule>
  </conditionalFormatting>
  <conditionalFormatting sqref="E57:N61">
    <cfRule type="expression" dxfId="22" priority="12">
      <formula>IF(E$55&gt;$F$53,1,0)</formula>
    </cfRule>
  </conditionalFormatting>
  <conditionalFormatting sqref="E21:N21 E26:N26 F22:N25">
    <cfRule type="expression" dxfId="21" priority="11">
      <formula>IF(E$20&gt;$F$18,1,0)</formula>
    </cfRule>
  </conditionalFormatting>
  <conditionalFormatting sqref="E33:N37">
    <cfRule type="expression" dxfId="20" priority="10">
      <formula>IF(E$31&gt;$F$29,1,0)</formula>
    </cfRule>
  </conditionalFormatting>
  <conditionalFormatting sqref="H11 H8:H9">
    <cfRule type="expression" dxfId="19" priority="9">
      <formula>IF($F$9=1,1,0)</formula>
    </cfRule>
  </conditionalFormatting>
  <conditionalFormatting sqref="E56:N56">
    <cfRule type="expression" dxfId="18" priority="8">
      <formula>IF(E$55&gt;$F$53,1,0)</formula>
    </cfRule>
  </conditionalFormatting>
  <conditionalFormatting sqref="E32:N32">
    <cfRule type="expression" dxfId="17" priority="7">
      <formula>IF(E$31&gt;$F$29,1,0)</formula>
    </cfRule>
  </conditionalFormatting>
  <conditionalFormatting sqref="E71:N71">
    <cfRule type="expression" dxfId="16" priority="6">
      <formula>IF(E$65&lt;=$F$63,1,0)</formula>
    </cfRule>
  </conditionalFormatting>
  <conditionalFormatting sqref="H10">
    <cfRule type="expression" dxfId="15" priority="5">
      <formula>IF($F$9=1,1,0)</formula>
    </cfRule>
  </conditionalFormatting>
  <conditionalFormatting sqref="E70:N70">
    <cfRule type="expression" dxfId="14" priority="4">
      <formula>IF(E$65&lt;=$F$63,1,0)</formula>
    </cfRule>
  </conditionalFormatting>
  <conditionalFormatting sqref="E70:N70">
    <cfRule type="expression" dxfId="13" priority="3">
      <formula>IF(E$65&gt;$F$63,1,0)</formula>
    </cfRule>
  </conditionalFormatting>
  <conditionalFormatting sqref="E22:E25">
    <cfRule type="expression" dxfId="12" priority="2">
      <formula>IF(E$20&lt;=$F$18,1,0)</formula>
    </cfRule>
  </conditionalFormatting>
  <conditionalFormatting sqref="E22:E25">
    <cfRule type="expression" dxfId="11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58:N58 E23:N23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10" zoomScale="80" zoomScaleNormal="80" workbookViewId="0">
      <selection activeCell="N30" sqref="N30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59.85546875" style="128" bestFit="1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Oberhessengas Netz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Wetteraukreis, Vogelsbergkreis, LG Gießen Teil, Limeshain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 t="str">
        <f>Netzbetreiber!$D$11</f>
        <v>9870020300008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44562</v>
      </c>
      <c r="E8" s="130"/>
      <c r="F8" s="130"/>
      <c r="H8" s="128" t="s">
        <v>493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5" t="s">
        <v>648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516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25" si="0">$D$6</f>
        <v>Wetteraukreis, Vogelsbergkreis, LG Gießen Teil, Limeshain</v>
      </c>
      <c r="D12" s="62" t="s">
        <v>248</v>
      </c>
      <c r="E12" s="165" t="s">
        <v>658</v>
      </c>
      <c r="F12" s="307" t="s">
        <v>287</v>
      </c>
      <c r="H12" s="278">
        <f>ROUND(VLOOKUP($E12,'BDEW-Standard'!$B$3:$M$94,H$9,0),7)</f>
        <v>3.1850190999999999</v>
      </c>
      <c r="I12" s="278">
        <f>ROUND(VLOOKUP($E12,'BDEW-Standard'!$B$3:$M$94,I$9,0),7)</f>
        <v>-37.412415500000002</v>
      </c>
      <c r="J12" s="278">
        <f>ROUND(VLOOKUP($E12,'BDEW-Standard'!$B$3:$M$94,J$9,0),7)</f>
        <v>6.1723179000000004</v>
      </c>
      <c r="K12" s="278">
        <f>ROUND(VLOOKUP($E12,'BDEW-Standard'!$B$3:$M$94,K$9,0),7)</f>
        <v>7.6109599999999999E-2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5" si="1">($H12/(1+($I12/($Q$9-$L12))^$J12)+$K12)+MAX($M12*$Q$9+$N12,$O12*$Q$9+$P12)</f>
        <v>0.95508749343949439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Wetteraukreis, Vogelsbergkreis, LG Gießen Teil, Limeshain</v>
      </c>
      <c r="D13" s="62" t="s">
        <v>248</v>
      </c>
      <c r="E13" s="165" t="s">
        <v>680</v>
      </c>
      <c r="F13" s="307" t="s">
        <v>295</v>
      </c>
      <c r="H13" s="278">
        <f>ROUND(VLOOKUP($E13,'BDEW-Standard'!$B$3:$M$94,H$9,0),7)</f>
        <v>2.5187775000000001</v>
      </c>
      <c r="I13" s="278">
        <f>ROUND(VLOOKUP($E13,'BDEW-Standard'!$B$3:$M$94,I$9,0),7)</f>
        <v>-35.033375399999997</v>
      </c>
      <c r="J13" s="278">
        <f>ROUND(VLOOKUP($E13,'BDEW-Standard'!$B$3:$M$94,J$9,0),7)</f>
        <v>6.2240634000000004</v>
      </c>
      <c r="K13" s="278">
        <f>ROUND(VLOOKUP($E13,'BDEW-Standard'!$B$3:$M$94,K$9,0),7)</f>
        <v>0.10107820000000001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1.0146273685996503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5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Wetteraukreis, Vogelsbergkreis, LG Gießen Teil, Limeshain</v>
      </c>
      <c r="D14" s="62" t="s">
        <v>248</v>
      </c>
      <c r="E14" s="165" t="s">
        <v>670</v>
      </c>
      <c r="F14" s="307" t="str">
        <f>VLOOKUP($E14,'BDEW-Standard'!$B$3:$M$94,F$9,0)</f>
        <v>BA4</v>
      </c>
      <c r="H14" s="278">
        <f>ROUND(VLOOKUP($E14,'BDEW-Standard'!$B$3:$M$94,H$9,0),7)</f>
        <v>0.93158890000000005</v>
      </c>
      <c r="I14" s="278">
        <f>ROUND(VLOOKUP($E14,'BDEW-Standard'!$B$3:$M$94,I$9,0),7)</f>
        <v>-33.35</v>
      </c>
      <c r="J14" s="278">
        <f>ROUND(VLOOKUP($E14,'BDEW-Standard'!$B$3:$M$94,J$9,0),7)</f>
        <v>5.7212303000000002</v>
      </c>
      <c r="K14" s="278">
        <f>ROUND(VLOOKUP($E14,'BDEW-Standard'!$B$3:$M$94,K$9,0),7)</f>
        <v>0.66564939999999995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1.0766391850538448</v>
      </c>
      <c r="R14" s="281">
        <f>ROUND(VLOOKUP(MID($E14,4,3),'Wochentag F(WT)'!$B$7:$J$22,R$9,0),4)</f>
        <v>1.0848</v>
      </c>
      <c r="S14" s="281">
        <f>ROUND(VLOOKUP(MID($E14,4,3),'Wochentag F(WT)'!$B$7:$J$22,S$9,0),4)</f>
        <v>1.1211</v>
      </c>
      <c r="T14" s="281">
        <f>ROUND(VLOOKUP(MID($E14,4,3),'Wochentag F(WT)'!$B$7:$J$22,T$9,0),4)</f>
        <v>1.0769</v>
      </c>
      <c r="U14" s="281">
        <f>ROUND(VLOOKUP(MID($E14,4,3),'Wochentag F(WT)'!$B$7:$J$22,U$9,0),4)</f>
        <v>1.1353</v>
      </c>
      <c r="V14" s="281">
        <f>ROUND(VLOOKUP(MID($E14,4,3),'Wochentag F(WT)'!$B$7:$J$22,V$9,0),4)</f>
        <v>1.1402000000000001</v>
      </c>
      <c r="W14" s="281">
        <f>ROUND(VLOOKUP(MID($E14,4,3),'Wochentag F(WT)'!$B$7:$J$22,W$9,0),4)</f>
        <v>0.48520000000000002</v>
      </c>
      <c r="X14" s="282">
        <f t="shared" si="2"/>
        <v>0.95650000000000013</v>
      </c>
      <c r="Y14" s="303"/>
      <c r="Z14" s="212"/>
    </row>
    <row r="15" spans="2:26" s="143" customFormat="1">
      <c r="B15" s="144">
        <v>4</v>
      </c>
      <c r="C15" s="145" t="str">
        <f t="shared" si="0"/>
        <v>Wetteraukreis, Vogelsbergkreis, LG Gießen Teil, Limeshain</v>
      </c>
      <c r="D15" s="62" t="s">
        <v>248</v>
      </c>
      <c r="E15" s="165" t="s">
        <v>671</v>
      </c>
      <c r="F15" s="307" t="str">
        <f>VLOOKUP($E15,'BDEW-Standard'!$B$3:$M$94,F$9,0)</f>
        <v>BD4</v>
      </c>
      <c r="H15" s="278">
        <f>ROUND(VLOOKUP($E15,'BDEW-Standard'!$B$3:$M$94,H$9,0),7)</f>
        <v>3.75</v>
      </c>
      <c r="I15" s="278">
        <f>ROUND(VLOOKUP($E15,'BDEW-Standard'!$B$3:$M$94,I$9,0),7)</f>
        <v>-37.5</v>
      </c>
      <c r="J15" s="278">
        <f>ROUND(VLOOKUP($E15,'BDEW-Standard'!$B$3:$M$94,J$9,0),7)</f>
        <v>6.8</v>
      </c>
      <c r="K15" s="278">
        <f>ROUND(VLOOKUP($E15,'BDEW-Standard'!$B$3:$M$94,K$9,0),7)</f>
        <v>6.0911300000000002E-2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1.0126136468627658</v>
      </c>
      <c r="R15" s="281">
        <f>ROUND(VLOOKUP(MID($E15,4,3),'Wochentag F(WT)'!$B$7:$J$22,R$9,0),4)</f>
        <v>1.1052</v>
      </c>
      <c r="S15" s="281">
        <f>ROUND(VLOOKUP(MID($E15,4,3),'Wochentag F(WT)'!$B$7:$J$22,S$9,0),4)</f>
        <v>1.0857000000000001</v>
      </c>
      <c r="T15" s="281">
        <f>ROUND(VLOOKUP(MID($E15,4,3),'Wochentag F(WT)'!$B$7:$J$22,T$9,0),4)</f>
        <v>1.0378000000000001</v>
      </c>
      <c r="U15" s="281">
        <f>ROUND(VLOOKUP(MID($E15,4,3),'Wochentag F(WT)'!$B$7:$J$22,U$9,0),4)</f>
        <v>1.0622</v>
      </c>
      <c r="V15" s="281">
        <f>ROUND(VLOOKUP(MID($E15,4,3),'Wochentag F(WT)'!$B$7:$J$22,V$9,0),4)</f>
        <v>1.0266</v>
      </c>
      <c r="W15" s="281">
        <f>ROUND(VLOOKUP(MID($E15,4,3),'Wochentag F(WT)'!$B$7:$J$22,W$9,0),4)</f>
        <v>0.76290000000000002</v>
      </c>
      <c r="X15" s="282">
        <f t="shared" si="2"/>
        <v>0.91959999999999997</v>
      </c>
      <c r="Y15" s="303"/>
      <c r="Z15" s="212"/>
    </row>
    <row r="16" spans="2:26" s="143" customFormat="1">
      <c r="B16" s="144">
        <v>5</v>
      </c>
      <c r="C16" s="145" t="str">
        <f t="shared" si="0"/>
        <v>Wetteraukreis, Vogelsbergkreis, LG Gießen Teil, Limeshain</v>
      </c>
      <c r="D16" s="62" t="s">
        <v>248</v>
      </c>
      <c r="E16" s="165" t="s">
        <v>672</v>
      </c>
      <c r="F16" s="307" t="str">
        <f>VLOOKUP($E16,'BDEW-Standard'!$B$3:$M$94,F$9,0)</f>
        <v>BH4</v>
      </c>
      <c r="H16" s="278">
        <f>ROUND(VLOOKUP($E16,'BDEW-Standard'!$B$3:$M$94,H$9,0),7)</f>
        <v>2.4595180999999999</v>
      </c>
      <c r="I16" s="278">
        <f>ROUND(VLOOKUP($E16,'BDEW-Standard'!$B$3:$M$94,I$9,0),7)</f>
        <v>-35.253212400000002</v>
      </c>
      <c r="J16" s="278">
        <f>ROUND(VLOOKUP($E16,'BDEW-Standard'!$B$3:$M$94,J$9,0),7)</f>
        <v>6.0587001000000003</v>
      </c>
      <c r="K16" s="278">
        <f>ROUND(VLOOKUP($E16,'BDEW-Standard'!$B$3:$M$94,K$9,0),7)</f>
        <v>0.16473699999999999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1.043802057143173</v>
      </c>
      <c r="R16" s="281">
        <f>ROUND(VLOOKUP(MID($E16,4,3),'Wochentag F(WT)'!$B$7:$J$22,R$9,0),4)</f>
        <v>0.97670000000000001</v>
      </c>
      <c r="S16" s="281">
        <f>ROUND(VLOOKUP(MID($E16,4,3),'Wochentag F(WT)'!$B$7:$J$22,S$9,0),4)</f>
        <v>1.0388999999999999</v>
      </c>
      <c r="T16" s="281">
        <f>ROUND(VLOOKUP(MID($E16,4,3),'Wochentag F(WT)'!$B$7:$J$22,T$9,0),4)</f>
        <v>1.0027999999999999</v>
      </c>
      <c r="U16" s="281">
        <f>ROUND(VLOOKUP(MID($E16,4,3),'Wochentag F(WT)'!$B$7:$J$22,U$9,0),4)</f>
        <v>1.0162</v>
      </c>
      <c r="V16" s="281">
        <f>ROUND(VLOOKUP(MID($E16,4,3),'Wochentag F(WT)'!$B$7:$J$22,V$9,0),4)</f>
        <v>1.0024</v>
      </c>
      <c r="W16" s="281">
        <f>ROUND(VLOOKUP(MID($E16,4,3),'Wochentag F(WT)'!$B$7:$J$22,W$9,0),4)</f>
        <v>1.0043</v>
      </c>
      <c r="X16" s="282">
        <f t="shared" si="2"/>
        <v>0.95870000000000122</v>
      </c>
      <c r="Y16" s="303"/>
      <c r="Z16" s="212"/>
    </row>
    <row r="17" spans="2:26" s="143" customFormat="1">
      <c r="B17" s="144">
        <v>6</v>
      </c>
      <c r="C17" s="145" t="str">
        <f t="shared" si="0"/>
        <v>Wetteraukreis, Vogelsbergkreis, LG Gießen Teil, Limeshain</v>
      </c>
      <c r="D17" s="62" t="s">
        <v>248</v>
      </c>
      <c r="E17" s="165" t="s">
        <v>673</v>
      </c>
      <c r="F17" s="307" t="str">
        <f>VLOOKUP($E17,'BDEW-Standard'!$B$3:$M$94,F$9,0)</f>
        <v>GA4</v>
      </c>
      <c r="H17" s="278">
        <f>ROUND(VLOOKUP($E17,'BDEW-Standard'!$B$3:$M$94,H$9,0),7)</f>
        <v>2.8195655999999998</v>
      </c>
      <c r="I17" s="278">
        <f>ROUND(VLOOKUP($E17,'BDEW-Standard'!$B$3:$M$94,I$9,0),7)</f>
        <v>-36</v>
      </c>
      <c r="J17" s="278">
        <f>ROUND(VLOOKUP($E17,'BDEW-Standard'!$B$3:$M$94,J$9,0),7)</f>
        <v>7.7368518000000002</v>
      </c>
      <c r="K17" s="278">
        <f>ROUND(VLOOKUP($E17,'BDEW-Standard'!$B$3:$M$94,K$9,0),7)</f>
        <v>0.157281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0.96576337685759206</v>
      </c>
      <c r="R17" s="281">
        <f>ROUND(VLOOKUP(MID($E17,4,3),'Wochentag F(WT)'!$B$7:$J$22,R$9,0),4)</f>
        <v>0.93220000000000003</v>
      </c>
      <c r="S17" s="281">
        <f>ROUND(VLOOKUP(MID($E17,4,3),'Wochentag F(WT)'!$B$7:$J$22,S$9,0),4)</f>
        <v>0.98939999999999995</v>
      </c>
      <c r="T17" s="281">
        <f>ROUND(VLOOKUP(MID($E17,4,3),'Wochentag F(WT)'!$B$7:$J$22,T$9,0),4)</f>
        <v>1.0033000000000001</v>
      </c>
      <c r="U17" s="281">
        <f>ROUND(VLOOKUP(MID($E17,4,3),'Wochentag F(WT)'!$B$7:$J$22,U$9,0),4)</f>
        <v>1.0108999999999999</v>
      </c>
      <c r="V17" s="281">
        <f>ROUND(VLOOKUP(MID($E17,4,3),'Wochentag F(WT)'!$B$7:$J$22,V$9,0),4)</f>
        <v>1.018</v>
      </c>
      <c r="W17" s="281">
        <f>ROUND(VLOOKUP(MID($E17,4,3),'Wochentag F(WT)'!$B$7:$J$22,W$9,0),4)</f>
        <v>1.0356000000000001</v>
      </c>
      <c r="X17" s="282">
        <f t="shared" si="2"/>
        <v>1.0106000000000002</v>
      </c>
      <c r="Y17" s="303"/>
      <c r="Z17" s="212"/>
    </row>
    <row r="18" spans="2:26" s="143" customFormat="1">
      <c r="B18" s="144">
        <v>7</v>
      </c>
      <c r="C18" s="145" t="str">
        <f t="shared" si="0"/>
        <v>Wetteraukreis, Vogelsbergkreis, LG Gießen Teil, Limeshain</v>
      </c>
      <c r="D18" s="62" t="s">
        <v>248</v>
      </c>
      <c r="E18" s="165" t="s">
        <v>674</v>
      </c>
      <c r="F18" s="307" t="str">
        <f>VLOOKUP($E18,'BDEW-Standard'!$B$3:$M$94,F$9,0)</f>
        <v>GB4</v>
      </c>
      <c r="H18" s="278">
        <f>ROUND(VLOOKUP($E18,'BDEW-Standard'!$B$3:$M$94,H$9,0),7)</f>
        <v>3.6017736</v>
      </c>
      <c r="I18" s="278">
        <f>ROUND(VLOOKUP($E18,'BDEW-Standard'!$B$3:$M$94,I$9,0),7)</f>
        <v>-37.882536799999997</v>
      </c>
      <c r="J18" s="278">
        <f>ROUND(VLOOKUP($E18,'BDEW-Standard'!$B$3:$M$94,J$9,0),7)</f>
        <v>6.9836070000000001</v>
      </c>
      <c r="K18" s="278">
        <f>ROUND(VLOOKUP($E18,'BDEW-Standard'!$B$3:$M$94,K$9,0),7)</f>
        <v>5.4826199999999999E-2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0.90239375975311864</v>
      </c>
      <c r="R18" s="281">
        <f>ROUND(VLOOKUP(MID($E18,4,3),'Wochentag F(WT)'!$B$7:$J$22,R$9,0),4)</f>
        <v>0.98970000000000002</v>
      </c>
      <c r="S18" s="281">
        <f>ROUND(VLOOKUP(MID($E18,4,3),'Wochentag F(WT)'!$B$7:$J$22,S$9,0),4)</f>
        <v>0.9627</v>
      </c>
      <c r="T18" s="281">
        <f>ROUND(VLOOKUP(MID($E18,4,3),'Wochentag F(WT)'!$B$7:$J$22,T$9,0),4)</f>
        <v>1.0507</v>
      </c>
      <c r="U18" s="281">
        <f>ROUND(VLOOKUP(MID($E18,4,3),'Wochentag F(WT)'!$B$7:$J$22,U$9,0),4)</f>
        <v>1.0551999999999999</v>
      </c>
      <c r="V18" s="281">
        <f>ROUND(VLOOKUP(MID($E18,4,3),'Wochentag F(WT)'!$B$7:$J$22,V$9,0),4)</f>
        <v>1.0297000000000001</v>
      </c>
      <c r="W18" s="281">
        <f>ROUND(VLOOKUP(MID($E18,4,3),'Wochentag F(WT)'!$B$7:$J$22,W$9,0),4)</f>
        <v>0.97670000000000001</v>
      </c>
      <c r="X18" s="282">
        <f t="shared" si="2"/>
        <v>0.9352999999999998</v>
      </c>
      <c r="Y18" s="303"/>
      <c r="Z18" s="212"/>
    </row>
    <row r="19" spans="2:26" s="143" customFormat="1">
      <c r="B19" s="144">
        <v>8</v>
      </c>
      <c r="C19" s="145" t="str">
        <f t="shared" si="0"/>
        <v>Wetteraukreis, Vogelsbergkreis, LG Gießen Teil, Limeshain</v>
      </c>
      <c r="D19" s="62" t="s">
        <v>248</v>
      </c>
      <c r="E19" s="165" t="s">
        <v>675</v>
      </c>
      <c r="F19" s="307" t="str">
        <f>VLOOKUP($E19,'BDEW-Standard'!$B$3:$M$94,F$9,0)</f>
        <v>HA4</v>
      </c>
      <c r="H19" s="278">
        <f>ROUND(VLOOKUP($E19,'BDEW-Standard'!$B$3:$M$94,H$9,0),7)</f>
        <v>4.0196902000000003</v>
      </c>
      <c r="I19" s="278">
        <f>ROUND(VLOOKUP($E19,'BDEW-Standard'!$B$3:$M$94,I$9,0),7)</f>
        <v>-37.828203700000003</v>
      </c>
      <c r="J19" s="278">
        <f>ROUND(VLOOKUP($E19,'BDEW-Standard'!$B$3:$M$94,J$9,0),7)</f>
        <v>8.1593368999999996</v>
      </c>
      <c r="K19" s="278">
        <f>ROUND(VLOOKUP($E19,'BDEW-Standard'!$B$3:$M$94,K$9,0),7)</f>
        <v>4.72845E-2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0.86486713303260787</v>
      </c>
      <c r="R19" s="281">
        <f>ROUND(VLOOKUP(MID($E19,4,3),'Wochentag F(WT)'!$B$7:$J$22,R$9,0),4)</f>
        <v>1.0358000000000001</v>
      </c>
      <c r="S19" s="281">
        <f>ROUND(VLOOKUP(MID($E19,4,3),'Wochentag F(WT)'!$B$7:$J$22,S$9,0),4)</f>
        <v>1.0232000000000001</v>
      </c>
      <c r="T19" s="281">
        <f>ROUND(VLOOKUP(MID($E19,4,3),'Wochentag F(WT)'!$B$7:$J$22,T$9,0),4)</f>
        <v>1.0251999999999999</v>
      </c>
      <c r="U19" s="281">
        <f>ROUND(VLOOKUP(MID($E19,4,3),'Wochentag F(WT)'!$B$7:$J$22,U$9,0),4)</f>
        <v>1.0295000000000001</v>
      </c>
      <c r="V19" s="281">
        <f>ROUND(VLOOKUP(MID($E19,4,3),'Wochentag F(WT)'!$B$7:$J$22,V$9,0),4)</f>
        <v>1.0253000000000001</v>
      </c>
      <c r="W19" s="281">
        <f>ROUND(VLOOKUP(MID($E19,4,3),'Wochentag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Wetteraukreis, Vogelsbergkreis, LG Gießen Teil, Limeshain</v>
      </c>
      <c r="D20" s="62" t="s">
        <v>248</v>
      </c>
      <c r="E20" s="165" t="s">
        <v>676</v>
      </c>
      <c r="F20" s="307" t="str">
        <f>VLOOKUP($E20,'BDEW-Standard'!$B$3:$M$94,F$9,0)</f>
        <v>KO4</v>
      </c>
      <c r="H20" s="278">
        <f>ROUND(VLOOKUP($E20,'BDEW-Standard'!$B$3:$M$94,H$9,0),7)</f>
        <v>3.4428942999999999</v>
      </c>
      <c r="I20" s="278">
        <f>ROUND(VLOOKUP($E20,'BDEW-Standard'!$B$3:$M$94,I$9,0),7)</f>
        <v>-36.659050399999998</v>
      </c>
      <c r="J20" s="278">
        <f>ROUND(VLOOKUP($E20,'BDEW-Standard'!$B$3:$M$94,J$9,0),7)</f>
        <v>7.6083226000000002</v>
      </c>
      <c r="K20" s="278">
        <f>ROUND(VLOOKUP($E20,'BDEW-Standard'!$B$3:$M$94,K$9,0),7)</f>
        <v>7.4685000000000001E-2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0.97768382110526542</v>
      </c>
      <c r="R20" s="281">
        <f>ROUND(VLOOKUP(MID($E20,4,3),'Wochentag F(WT)'!$B$7:$J$22,R$9,0),4)</f>
        <v>1.0354000000000001</v>
      </c>
      <c r="S20" s="281">
        <f>ROUND(VLOOKUP(MID($E20,4,3),'Wochentag F(WT)'!$B$7:$J$22,S$9,0),4)</f>
        <v>1.0523</v>
      </c>
      <c r="T20" s="281">
        <f>ROUND(VLOOKUP(MID($E20,4,3),'Wochentag F(WT)'!$B$7:$J$22,T$9,0),4)</f>
        <v>1.0448999999999999</v>
      </c>
      <c r="U20" s="281">
        <f>ROUND(VLOOKUP(MID($E20,4,3),'Wochentag F(WT)'!$B$7:$J$22,U$9,0),4)</f>
        <v>1.0494000000000001</v>
      </c>
      <c r="V20" s="281">
        <f>ROUND(VLOOKUP(MID($E20,4,3),'Wochentag F(WT)'!$B$7:$J$22,V$9,0),4)</f>
        <v>0.98850000000000005</v>
      </c>
      <c r="W20" s="281">
        <f>ROUND(VLOOKUP(MID($E20,4,3),'Wochentag F(WT)'!$B$7:$J$22,W$9,0),4)</f>
        <v>0.88600000000000001</v>
      </c>
      <c r="X20" s="282">
        <f t="shared" si="2"/>
        <v>0.94349999999999934</v>
      </c>
      <c r="Y20" s="303"/>
      <c r="Z20" s="212"/>
    </row>
    <row r="21" spans="2:26" s="143" customFormat="1">
      <c r="B21" s="144">
        <v>10</v>
      </c>
      <c r="C21" s="145" t="str">
        <f t="shared" si="0"/>
        <v>Wetteraukreis, Vogelsbergkreis, LG Gießen Teil, Limeshain</v>
      </c>
      <c r="D21" s="62" t="s">
        <v>248</v>
      </c>
      <c r="E21" s="165" t="s">
        <v>677</v>
      </c>
      <c r="F21" s="307" t="str">
        <f>VLOOKUP($E21,'BDEW-Standard'!$B$3:$M$94,F$9,0)</f>
        <v>MF4</v>
      </c>
      <c r="H21" s="278">
        <f>ROUND(VLOOKUP($E21,'BDEW-Standard'!$B$3:$M$94,H$9,0),7)</f>
        <v>2.5187775000000001</v>
      </c>
      <c r="I21" s="278">
        <f>ROUND(VLOOKUP($E21,'BDEW-Standard'!$B$3:$M$94,I$9,0),7)</f>
        <v>-35.033375399999997</v>
      </c>
      <c r="J21" s="278">
        <f>ROUND(VLOOKUP($E21,'BDEW-Standard'!$B$3:$M$94,J$9,0),7)</f>
        <v>6.2240634000000004</v>
      </c>
      <c r="K21" s="278">
        <f>ROUND(VLOOKUP($E21,'BDEW-Standard'!$B$3:$M$94,K$9,0),7)</f>
        <v>0.10107820000000001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1.0146273685996503</v>
      </c>
      <c r="R21" s="281">
        <f>ROUND(VLOOKUP(MID($E21,4,3),'Wochentag F(WT)'!$B$7:$J$22,R$9,0),4)</f>
        <v>1.0354000000000001</v>
      </c>
      <c r="S21" s="281">
        <f>ROUND(VLOOKUP(MID($E21,4,3),'Wochentag F(WT)'!$B$7:$J$22,S$9,0),4)</f>
        <v>1.0523</v>
      </c>
      <c r="T21" s="281">
        <f>ROUND(VLOOKUP(MID($E21,4,3),'Wochentag F(WT)'!$B$7:$J$22,T$9,0),4)</f>
        <v>1.0448999999999999</v>
      </c>
      <c r="U21" s="281">
        <f>ROUND(VLOOKUP(MID($E21,4,3),'Wochentag F(WT)'!$B$7:$J$22,U$9,0),4)</f>
        <v>1.0494000000000001</v>
      </c>
      <c r="V21" s="281">
        <f>ROUND(VLOOKUP(MID($E21,4,3),'Wochentag F(WT)'!$B$7:$J$22,V$9,0),4)</f>
        <v>0.98850000000000005</v>
      </c>
      <c r="W21" s="281">
        <f>ROUND(VLOOKUP(MID($E21,4,3),'Wochentag F(WT)'!$B$7:$J$22,W$9,0),4)</f>
        <v>0.88600000000000001</v>
      </c>
      <c r="X21" s="282">
        <f t="shared" si="2"/>
        <v>0.94349999999999934</v>
      </c>
      <c r="Y21" s="303"/>
      <c r="Z21" s="212"/>
    </row>
    <row r="22" spans="2:26" s="143" customFormat="1">
      <c r="B22" s="144">
        <v>11</v>
      </c>
      <c r="C22" s="145" t="str">
        <f t="shared" si="0"/>
        <v>Wetteraukreis, Vogelsbergkreis, LG Gießen Teil, Limeshain</v>
      </c>
      <c r="D22" s="62" t="s">
        <v>248</v>
      </c>
      <c r="E22" s="165" t="s">
        <v>657</v>
      </c>
      <c r="F22" s="307" t="str">
        <f>VLOOKUP($E22,'BDEW-Standard'!$B$3:$M$94,F$9,0)</f>
        <v>MK4</v>
      </c>
      <c r="H22" s="278">
        <f>ROUND(VLOOKUP($E22,'BDEW-Standard'!$B$3:$M$94,H$9,0),7)</f>
        <v>3.1177248</v>
      </c>
      <c r="I22" s="278">
        <f>ROUND(VLOOKUP($E22,'BDEW-Standard'!$B$3:$M$94,I$9,0),7)</f>
        <v>-35.871506199999999</v>
      </c>
      <c r="J22" s="278">
        <f>ROUND(VLOOKUP($E22,'BDEW-Standard'!$B$3:$M$94,J$9,0),7)</f>
        <v>7.5186828999999999</v>
      </c>
      <c r="K22" s="278">
        <f>ROUND(VLOOKUP($E22,'BDEW-Standard'!$B$3:$M$94,K$9,0),7)</f>
        <v>3.4330100000000002E-2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0.9622064996731321</v>
      </c>
      <c r="R22" s="281">
        <f>ROUND(VLOOKUP(MID($E22,4,3),'Wochentag F(WT)'!$B$7:$J$22,R$9,0),4)</f>
        <v>1.0699000000000001</v>
      </c>
      <c r="S22" s="281">
        <f>ROUND(VLOOKUP(MID($E22,4,3),'Wochentag F(WT)'!$B$7:$J$22,S$9,0),4)</f>
        <v>1.0365</v>
      </c>
      <c r="T22" s="281">
        <f>ROUND(VLOOKUP(MID($E22,4,3),'Wochentag F(WT)'!$B$7:$J$22,T$9,0),4)</f>
        <v>0.99329999999999996</v>
      </c>
      <c r="U22" s="281">
        <f>ROUND(VLOOKUP(MID($E22,4,3),'Wochentag F(WT)'!$B$7:$J$22,U$9,0),4)</f>
        <v>0.99480000000000002</v>
      </c>
      <c r="V22" s="281">
        <f>ROUND(VLOOKUP(MID($E22,4,3),'Wochentag F(WT)'!$B$7:$J$22,V$9,0),4)</f>
        <v>1.0659000000000001</v>
      </c>
      <c r="W22" s="281">
        <f>ROUND(VLOOKUP(MID($E22,4,3),'Wochentag F(WT)'!$B$7:$J$22,W$9,0),4)</f>
        <v>0.93620000000000003</v>
      </c>
      <c r="X22" s="282">
        <f t="shared" si="2"/>
        <v>0.90339999999999954</v>
      </c>
      <c r="Y22" s="303"/>
      <c r="Z22" s="212"/>
    </row>
    <row r="23" spans="2:26" s="143" customFormat="1">
      <c r="B23" s="144">
        <v>12</v>
      </c>
      <c r="C23" s="145" t="str">
        <f t="shared" si="0"/>
        <v>Wetteraukreis, Vogelsbergkreis, LG Gießen Teil, Limeshain</v>
      </c>
      <c r="D23" s="62" t="s">
        <v>248</v>
      </c>
      <c r="E23" s="165" t="s">
        <v>678</v>
      </c>
      <c r="F23" s="307" t="str">
        <f>VLOOKUP($E23,'BDEW-Standard'!$B$3:$M$94,F$9,0)</f>
        <v>PD4</v>
      </c>
      <c r="H23" s="278">
        <f>ROUND(VLOOKUP($E23,'BDEW-Standard'!$B$3:$M$94,H$9,0),7)</f>
        <v>3.85</v>
      </c>
      <c r="I23" s="278">
        <f>ROUND(VLOOKUP($E23,'BDEW-Standard'!$B$3:$M$94,I$9,0),7)</f>
        <v>-37</v>
      </c>
      <c r="J23" s="278">
        <f>ROUND(VLOOKUP($E23,'BDEW-Standard'!$B$3:$M$94,J$9,0),7)</f>
        <v>10.2405021</v>
      </c>
      <c r="K23" s="278">
        <f>ROUND(VLOOKUP($E23,'BDEW-Standard'!$B$3:$M$94,K$9,0),7)</f>
        <v>4.6924300000000002E-2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0.75691065279879233</v>
      </c>
      <c r="R23" s="281">
        <f>ROUND(VLOOKUP(MID($E23,4,3),'Wochentag F(WT)'!$B$7:$J$22,R$9,0),4)</f>
        <v>1.0214000000000001</v>
      </c>
      <c r="S23" s="281">
        <f>ROUND(VLOOKUP(MID($E23,4,3),'Wochentag F(WT)'!$B$7:$J$22,S$9,0),4)</f>
        <v>1.0866</v>
      </c>
      <c r="T23" s="281">
        <f>ROUND(VLOOKUP(MID($E23,4,3),'Wochentag F(WT)'!$B$7:$J$22,T$9,0),4)</f>
        <v>1.0720000000000001</v>
      </c>
      <c r="U23" s="281">
        <f>ROUND(VLOOKUP(MID($E23,4,3),'Wochentag F(WT)'!$B$7:$J$22,U$9,0),4)</f>
        <v>1.0557000000000001</v>
      </c>
      <c r="V23" s="281">
        <f>ROUND(VLOOKUP(MID($E23,4,3),'Wochentag F(WT)'!$B$7:$J$22,V$9,0),4)</f>
        <v>1.0117</v>
      </c>
      <c r="W23" s="281">
        <f>ROUND(VLOOKUP(MID($E23,4,3),'Wochentag F(WT)'!$B$7:$J$22,W$9,0),4)</f>
        <v>0.90010000000000001</v>
      </c>
      <c r="X23" s="282">
        <f t="shared" si="2"/>
        <v>0.85249999999999915</v>
      </c>
      <c r="Y23" s="303"/>
      <c r="Z23" s="212"/>
    </row>
    <row r="24" spans="2:26" s="143" customFormat="1">
      <c r="B24" s="144">
        <v>13</v>
      </c>
      <c r="C24" s="145" t="str">
        <f t="shared" si="0"/>
        <v>Wetteraukreis, Vogelsbergkreis, LG Gießen Teil, Limeshain</v>
      </c>
      <c r="D24" s="62" t="s">
        <v>248</v>
      </c>
      <c r="E24" s="165" t="s">
        <v>679</v>
      </c>
      <c r="F24" s="307" t="str">
        <f>VLOOKUP($E24,'BDEW-Standard'!$B$3:$M$94,F$9,0)</f>
        <v>WA4</v>
      </c>
      <c r="H24" s="278">
        <f>ROUND(VLOOKUP($E24,'BDEW-Standard'!$B$3:$M$94,H$9,0),7)</f>
        <v>1.0535874999999999</v>
      </c>
      <c r="I24" s="278">
        <f>ROUND(VLOOKUP($E24,'BDEW-Standard'!$B$3:$M$94,I$9,0),7)</f>
        <v>-35.299999999999997</v>
      </c>
      <c r="J24" s="278">
        <f>ROUND(VLOOKUP($E24,'BDEW-Standard'!$B$3:$M$94,J$9,0),7)</f>
        <v>4.8662747</v>
      </c>
      <c r="K24" s="278">
        <f>ROUND(VLOOKUP($E24,'BDEW-Standard'!$B$3:$M$94,K$9,0),7)</f>
        <v>0.68110420000000005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1.0844348950990992</v>
      </c>
      <c r="R24" s="281">
        <f>ROUND(VLOOKUP(MID($E24,4,3),'Wochentag F(WT)'!$B$7:$J$22,R$9,0),4)</f>
        <v>1.2457</v>
      </c>
      <c r="S24" s="281">
        <f>ROUND(VLOOKUP(MID($E24,4,3),'Wochentag F(WT)'!$B$7:$J$22,S$9,0),4)</f>
        <v>1.2615000000000001</v>
      </c>
      <c r="T24" s="281">
        <f>ROUND(VLOOKUP(MID($E24,4,3),'Wochentag F(WT)'!$B$7:$J$22,T$9,0),4)</f>
        <v>1.2706999999999999</v>
      </c>
      <c r="U24" s="281">
        <f>ROUND(VLOOKUP(MID($E24,4,3),'Wochentag F(WT)'!$B$7:$J$22,U$9,0),4)</f>
        <v>1.2430000000000001</v>
      </c>
      <c r="V24" s="281">
        <f>ROUND(VLOOKUP(MID($E24,4,3),'Wochentag F(WT)'!$B$7:$J$22,V$9,0),4)</f>
        <v>1.1275999999999999</v>
      </c>
      <c r="W24" s="281">
        <f>ROUND(VLOOKUP(MID($E24,4,3),'Wochentag F(WT)'!$B$7:$J$22,W$9,0),4)</f>
        <v>0.38769999999999999</v>
      </c>
      <c r="X24" s="282">
        <f t="shared" si="2"/>
        <v>0.46379999999999999</v>
      </c>
      <c r="Y24" s="303"/>
      <c r="Z24" s="212"/>
    </row>
    <row r="25" spans="2:26" s="143" customFormat="1">
      <c r="B25" s="144">
        <v>14</v>
      </c>
      <c r="C25" s="145" t="str">
        <f t="shared" si="0"/>
        <v>Wetteraukreis, Vogelsbergkreis, LG Gießen Teil, Limeshain</v>
      </c>
      <c r="D25" s="62" t="s">
        <v>248</v>
      </c>
      <c r="E25" s="165" t="s">
        <v>4</v>
      </c>
      <c r="F25" s="307" t="str">
        <f>VLOOKUP($E25,'BDEW-Standard'!$B$3:$M$94,F$9,0)</f>
        <v>HK3</v>
      </c>
      <c r="H25" s="278">
        <f>ROUND(VLOOKUP($E25,'BDEW-Standard'!$B$3:$M$94,H$9,0),7)</f>
        <v>0.40409319999999999</v>
      </c>
      <c r="I25" s="278">
        <f>ROUND(VLOOKUP($E25,'BDEW-Standard'!$B$3:$M$94,I$9,0),7)</f>
        <v>-24.439296800000001</v>
      </c>
      <c r="J25" s="278">
        <f>ROUND(VLOOKUP($E25,'BDEW-Standard'!$B$3:$M$94,J$9,0),7)</f>
        <v>6.5718174999999999</v>
      </c>
      <c r="K25" s="278">
        <f>ROUND(VLOOKUP($E25,'BDEW-Standard'!$B$3:$M$94,K$9,0),7)</f>
        <v>0.71077100000000004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1.0561214000512988</v>
      </c>
      <c r="R25" s="281">
        <f>ROUND(VLOOKUP(MID($E25,4,3),'Wochentag F(WT)'!$B$7:$J$22,R$9,0),4)</f>
        <v>1</v>
      </c>
      <c r="S25" s="281">
        <f>ROUND(VLOOKUP(MID($E25,4,3),'Wochentag F(WT)'!$B$7:$J$22,S$9,0),4)</f>
        <v>1</v>
      </c>
      <c r="T25" s="281">
        <f>ROUND(VLOOKUP(MID($E25,4,3),'Wochentag F(WT)'!$B$7:$J$22,T$9,0),4)</f>
        <v>1</v>
      </c>
      <c r="U25" s="281">
        <f>ROUND(VLOOKUP(MID($E25,4,3),'Wochentag F(WT)'!$B$7:$J$22,U$9,0),4)</f>
        <v>1</v>
      </c>
      <c r="V25" s="281">
        <f>ROUND(VLOOKUP(MID($E25,4,3),'Wochentag F(WT)'!$B$7:$J$22,V$9,0),4)</f>
        <v>1</v>
      </c>
      <c r="W25" s="281">
        <f>ROUND(VLOOKUP(MID($E25,4,3),'Wochentag F(WT)'!$B$7:$J$22,W$9,0),4)</f>
        <v>1</v>
      </c>
      <c r="X25" s="282">
        <f t="shared" si="2"/>
        <v>1</v>
      </c>
      <c r="Y25" s="303"/>
      <c r="Z25" s="212"/>
    </row>
    <row r="26" spans="2:26" s="143" customFormat="1">
      <c r="B26" s="144"/>
      <c r="C26" s="145"/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/>
      <c r="C27" s="145"/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/>
      <c r="C28" s="145"/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/>
      <c r="C29" s="145"/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/>
      <c r="C30" s="145"/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/>
      <c r="C31" s="145"/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/>
      <c r="C32" s="145"/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/>
      <c r="C33" s="145"/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/>
      <c r="C34" s="145"/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/>
      <c r="C35" s="145"/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/>
      <c r="C36" s="145"/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/>
      <c r="C37" s="145"/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/>
      <c r="C38" s="145"/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/>
      <c r="C39" s="145"/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/>
      <c r="C40" s="145"/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/>
      <c r="C41" s="145"/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disablePrompts="1"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545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18b9f00-f4e5-4488-840e-6084e0f110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Info</vt:lpstr>
      <vt:lpstr>Netzbetreiber</vt:lpstr>
      <vt:lpstr>SLP-Verfahren</vt:lpstr>
      <vt:lpstr>SLP-Temp-Gebiet Bad Nauheim</vt:lpstr>
      <vt:lpstr>SLP-Temp-Gebiet #02</vt:lpstr>
      <vt:lpstr>SLP-Temp-Gebiet Gießen</vt:lpstr>
      <vt:lpstr>SLP-Temp-Gebiet Neu-Ulrichstein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Euler, Sascha, ovag Netz GmbH, TN</cp:lastModifiedBy>
  <cp:lastPrinted>2015-03-20T22:59:10Z</cp:lastPrinted>
  <dcterms:created xsi:type="dcterms:W3CDTF">2015-01-15T05:25:41Z</dcterms:created>
  <dcterms:modified xsi:type="dcterms:W3CDTF">2022-10-20T09:19:28Z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